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APPS\OMB\Eval\FY19\"/>
    </mc:Choice>
  </mc:AlternateContent>
  <bookViews>
    <workbookView xWindow="240" yWindow="105" windowWidth="14805" windowHeight="8010" tabRatio="844"/>
  </bookViews>
  <sheets>
    <sheet name="Index" sheetId="109" r:id="rId1"/>
    <sheet name="01-71-0001" sheetId="214" r:id="rId2"/>
    <sheet name="01-71-0002" sheetId="215" r:id="rId3"/>
    <sheet name="01-71-0003" sheetId="216" r:id="rId4"/>
    <sheet name="01-77" sheetId="217" r:id="rId5"/>
    <sheet name="06-76" sheetId="218" r:id="rId6"/>
    <sheet name="10-49" sheetId="219" r:id="rId7"/>
    <sheet name="14-52" sheetId="220" r:id="rId8"/>
    <sheet name="16-55" sheetId="221" r:id="rId9"/>
    <sheet name="22-41" sheetId="222" r:id="rId10"/>
    <sheet name="22-55" sheetId="223" r:id="rId11"/>
    <sheet name="22-75" sheetId="224" r:id="rId12"/>
    <sheet name="22-76" sheetId="225" r:id="rId13"/>
    <sheet name="26-16-7025" sheetId="226" r:id="rId14"/>
    <sheet name="26-16" sheetId="227" r:id="rId15"/>
    <sheet name="26-17" sheetId="228" r:id="rId16"/>
    <sheet name="26-19" sheetId="229" r:id="rId17"/>
    <sheet name="34-31" sheetId="230" r:id="rId18"/>
    <sheet name="34-32" sheetId="231" r:id="rId19"/>
    <sheet name="34-33" sheetId="232" r:id="rId20"/>
    <sheet name="34-34" sheetId="233" r:id="rId21"/>
    <sheet name="34-35" sheetId="234" r:id="rId22"/>
    <sheet name="42-42" sheetId="235" r:id="rId23"/>
    <sheet name="42-43" sheetId="236" r:id="rId24"/>
    <sheet name="42-44" sheetId="237" r:id="rId25"/>
    <sheet name="42-45" sheetId="238" r:id="rId26"/>
    <sheet name="42-46" sheetId="239" r:id="rId27"/>
    <sheet name="42-47" sheetId="240" r:id="rId28"/>
    <sheet name="46-21" sheetId="241" r:id="rId29"/>
    <sheet name="46-22" sheetId="242" r:id="rId30"/>
    <sheet name="46-23-4290" sheetId="243" r:id="rId31"/>
    <sheet name="46-23" sheetId="244" r:id="rId32"/>
    <sheet name="46-25" sheetId="245" r:id="rId33"/>
    <sheet name="54-24-7540" sheetId="246" r:id="rId34"/>
    <sheet name="54-26" sheetId="247" r:id="rId35"/>
    <sheet name="54-27-7545" sheetId="248" r:id="rId36"/>
    <sheet name="54-32-7601" sheetId="249" r:id="rId37"/>
    <sheet name="54-32" sheetId="250" r:id="rId38"/>
    <sheet name="54-33-7560" sheetId="251" r:id="rId39"/>
    <sheet name="54-53-7550" sheetId="252" r:id="rId40"/>
    <sheet name="54-55-7580" sheetId="253" r:id="rId41"/>
    <sheet name="54-76-7500" sheetId="254" r:id="rId42"/>
    <sheet name="62-51" sheetId="255" r:id="rId43"/>
    <sheet name="62-53" sheetId="256" r:id="rId44"/>
    <sheet name="62-54" sheetId="257" r:id="rId45"/>
    <sheet name="62-74" sheetId="258" r:id="rId46"/>
    <sheet name="66-12" sheetId="259" r:id="rId47"/>
    <sheet name="66-13" sheetId="260" r:id="rId48"/>
    <sheet name="66-18" sheetId="261" r:id="rId49"/>
    <sheet name="66-19" sheetId="262" r:id="rId50"/>
    <sheet name="66-74" sheetId="263" r:id="rId51"/>
    <sheet name="66-82" sheetId="264" r:id="rId52"/>
    <sheet name="67-14" sheetId="265" r:id="rId53"/>
    <sheet name="67-83-3610" sheetId="266" r:id="rId54"/>
    <sheet name="67-83-3630" sheetId="267" r:id="rId55"/>
    <sheet name="67-83-3640" sheetId="268" r:id="rId56"/>
    <sheet name="67-83-3650" sheetId="269" r:id="rId57"/>
    <sheet name="74-36-2405" sheetId="270" r:id="rId58"/>
    <sheet name="74-36-2410" sheetId="271" r:id="rId59"/>
    <sheet name="74-36-2415" sheetId="272" r:id="rId60"/>
    <sheet name="74-36-2416" sheetId="273" r:id="rId61"/>
    <sheet name="74-36-2417" sheetId="274" r:id="rId62"/>
    <sheet name="74-36-2430" sheetId="275" r:id="rId63"/>
    <sheet name="74-36-2440" sheetId="276" r:id="rId64"/>
    <sheet name="74-36-2445" sheetId="277" r:id="rId65"/>
    <sheet name="74-36-2450" sheetId="278" r:id="rId66"/>
    <sheet name="74-36-2455" sheetId="279" r:id="rId67"/>
    <sheet name="74-36-2460" sheetId="280" r:id="rId68"/>
    <sheet name="74-36-2465" sheetId="281" r:id="rId69"/>
    <sheet name="74-36-2470" sheetId="282" r:id="rId70"/>
    <sheet name="74-36-2475" sheetId="283" r:id="rId71"/>
    <sheet name="74-36-2480" sheetId="284" r:id="rId72"/>
    <sheet name="74-36-2485" sheetId="285" r:id="rId73"/>
    <sheet name="74-36" sheetId="286" r:id="rId74"/>
    <sheet name="74-37-2541" sheetId="287" r:id="rId75"/>
    <sheet name="74-37" sheetId="288" r:id="rId76"/>
    <sheet name="74-74" sheetId="289" r:id="rId77"/>
    <sheet name="78-11" sheetId="290" r:id="rId78"/>
    <sheet name="78-61" sheetId="291" r:id="rId79"/>
    <sheet name="78-62" sheetId="292" r:id="rId80"/>
    <sheet name="78-64" sheetId="293" r:id="rId81"/>
    <sheet name="82-52" sheetId="294" r:id="rId82"/>
    <sheet name="82-72-2066" sheetId="295" r:id="rId83"/>
    <sheet name="82-72" sheetId="296" r:id="rId84"/>
    <sheet name="82-73" sheetId="297" r:id="rId85"/>
    <sheet name="82-74-2026" sheetId="298" r:id="rId86"/>
    <sheet name="82-74-2034" sheetId="299" r:id="rId87"/>
    <sheet name="82-74" sheetId="300" r:id="rId88"/>
    <sheet name="82-75" sheetId="301" r:id="rId89"/>
    <sheet name="82-76" sheetId="302" r:id="rId90"/>
    <sheet name="82-82-2096" sheetId="303" r:id="rId91"/>
    <sheet name="82-82-2097" sheetId="304" r:id="rId92"/>
    <sheet name="82-82-2098" sheetId="305" r:id="rId93"/>
    <sheet name="82-82" sheetId="306" r:id="rId94"/>
    <sheet name="90-72-9148" sheetId="307" r:id="rId95"/>
    <sheet name="94-74-9410" sheetId="308" r:id="rId96"/>
    <sheet name="98-15" sheetId="309" r:id="rId97"/>
    <sheet name="26-16-7020" sheetId="310" r:id="rId98"/>
    <sheet name="26-16-7030" sheetId="311" r:id="rId99"/>
    <sheet name="46-21-4280" sheetId="312" r:id="rId100"/>
    <sheet name="82-74-2020" sheetId="313" r:id="rId101"/>
    <sheet name="82-74-2052" sheetId="314" r:id="rId102"/>
    <sheet name="82-74-2056" sheetId="315" r:id="rId103"/>
    <sheet name="82-74-2057" sheetId="316" r:id="rId104"/>
    <sheet name="82-74-2065" sheetId="317" r:id="rId105"/>
  </sheets>
  <definedNames>
    <definedName name="AppRangeNames">#REF!</definedName>
    <definedName name="BudgetedFy_1" localSheetId="1">'01-71-0001'!$G$9</definedName>
    <definedName name="BudgetedFy_1" localSheetId="2">'01-71-0002'!$G$9</definedName>
    <definedName name="BudgetedFy_1" localSheetId="3">'01-71-0003'!$G$9</definedName>
    <definedName name="BudgetedFy_1" localSheetId="4">'01-77'!$G$9</definedName>
    <definedName name="BudgetedFy_1" localSheetId="5">'06-76'!$G$9</definedName>
    <definedName name="BudgetedFy_1" localSheetId="6">'10-49'!$G$9</definedName>
    <definedName name="BudgetedFy_1" localSheetId="7">'14-52'!$G$9</definedName>
    <definedName name="BudgetedFy_1" localSheetId="8">'16-55'!$G$9</definedName>
    <definedName name="BudgetedFy_1" localSheetId="9">'22-41'!$G$9</definedName>
    <definedName name="BudgetedFy_1" localSheetId="10">'22-55'!$G$9</definedName>
    <definedName name="BudgetedFy_1" localSheetId="11">'22-75'!$G$9</definedName>
    <definedName name="BudgetedFy_1" localSheetId="12">'22-76'!$G$9</definedName>
    <definedName name="BudgetedFy_1" localSheetId="14">'26-16'!$G$9</definedName>
    <definedName name="BudgetedFy_1" localSheetId="97">'26-16-7020'!$G$9</definedName>
    <definedName name="BudgetedFy_1" localSheetId="13">'26-16-7025'!$G$9</definedName>
    <definedName name="BudgetedFy_1" localSheetId="98">'26-16-7030'!$G$9</definedName>
    <definedName name="BudgetedFy_1" localSheetId="15">'26-17'!$G$9</definedName>
    <definedName name="BudgetedFy_1" localSheetId="16">'26-19'!$G$9</definedName>
    <definedName name="BudgetedFy_1" localSheetId="17">'34-31'!$G$9</definedName>
    <definedName name="BudgetedFy_1" localSheetId="18">'34-32'!$G$9</definedName>
    <definedName name="BudgetedFy_1" localSheetId="19">'34-33'!$G$9</definedName>
    <definedName name="BudgetedFy_1" localSheetId="20">'34-34'!$G$9</definedName>
    <definedName name="BudgetedFy_1" localSheetId="21">'34-35'!$G$9</definedName>
    <definedName name="BudgetedFy_1" localSheetId="22">'42-42'!$G$9</definedName>
    <definedName name="BudgetedFy_1" localSheetId="23">'42-43'!$G$9</definedName>
    <definedName name="BudgetedFy_1" localSheetId="24">'42-44'!$G$9</definedName>
    <definedName name="BudgetedFy_1" localSheetId="25">'42-45'!$G$9</definedName>
    <definedName name="BudgetedFy_1" localSheetId="26">'42-46'!$G$9</definedName>
    <definedName name="BudgetedFy_1" localSheetId="27">'42-47'!$G$9</definedName>
    <definedName name="BudgetedFy_1" localSheetId="28">'46-21'!$G$9</definedName>
    <definedName name="BudgetedFy_1" localSheetId="99">'46-21-4280'!$G$9</definedName>
    <definedName name="BudgetedFy_1" localSheetId="29">'46-22'!$G$9</definedName>
    <definedName name="BudgetedFy_1" localSheetId="31">'46-23'!$G$9</definedName>
    <definedName name="BudgetedFy_1" localSheetId="30">'46-23-4290'!$G$9</definedName>
    <definedName name="BudgetedFy_1" localSheetId="32">'46-25'!$G$9</definedName>
    <definedName name="BudgetedFy_1" localSheetId="33">'54-24-7540'!$G$9</definedName>
    <definedName name="BudgetedFy_1" localSheetId="34">'54-26'!$G$9</definedName>
    <definedName name="BudgetedFy_1" localSheetId="35">'54-27-7545'!$G$9</definedName>
    <definedName name="BudgetedFy_1" localSheetId="37">'54-32'!$G$9</definedName>
    <definedName name="BudgetedFy_1" localSheetId="36">'54-32-7601'!$G$9</definedName>
    <definedName name="BudgetedFy_1" localSheetId="38">'54-33-7560'!$G$9</definedName>
    <definedName name="BudgetedFy_1" localSheetId="39">'54-53-7550'!$G$9</definedName>
    <definedName name="BudgetedFy_1" localSheetId="40">'54-55-7580'!$G$9</definedName>
    <definedName name="BudgetedFy_1" localSheetId="41">'54-76-7500'!$G$9</definedName>
    <definedName name="BudgetedFy_1" localSheetId="42">'62-51'!$G$9</definedName>
    <definedName name="BudgetedFy_1" localSheetId="43">'62-53'!$G$9</definedName>
    <definedName name="BudgetedFy_1" localSheetId="44">'62-54'!$G$9</definedName>
    <definedName name="BudgetedFy_1" localSheetId="45">'62-74'!$G$9</definedName>
    <definedName name="BudgetedFy_1" localSheetId="46">'66-12'!$G$9</definedName>
    <definedName name="BudgetedFy_1" localSheetId="47">'66-13'!$G$9</definedName>
    <definedName name="BudgetedFy_1" localSheetId="48">'66-18'!$G$9</definedName>
    <definedName name="BudgetedFy_1" localSheetId="49">'66-19'!$G$9</definedName>
    <definedName name="BudgetedFy_1" localSheetId="50">'66-74'!$G$9</definedName>
    <definedName name="BudgetedFy_1" localSheetId="51">'66-82'!$G$9</definedName>
    <definedName name="BudgetedFy_1" localSheetId="52">'67-14'!$G$9</definedName>
    <definedName name="BudgetedFy_1" localSheetId="53">'67-83-3610'!$G$9</definedName>
    <definedName name="BudgetedFy_1" localSheetId="54">'67-83-3630'!$G$9</definedName>
    <definedName name="BudgetedFy_1" localSheetId="55">'67-83-3640'!$G$9</definedName>
    <definedName name="BudgetedFy_1" localSheetId="56">'67-83-3650'!$G$9</definedName>
    <definedName name="BudgetedFy_1" localSheetId="73">'74-36'!$G$9</definedName>
    <definedName name="BudgetedFy_1" localSheetId="57">'74-36-2405'!$G$9</definedName>
    <definedName name="BudgetedFy_1" localSheetId="58">'74-36-2410'!$G$9</definedName>
    <definedName name="BudgetedFy_1" localSheetId="59">'74-36-2415'!$G$9</definedName>
    <definedName name="BudgetedFy_1" localSheetId="60">'74-36-2416'!$G$9</definedName>
    <definedName name="BudgetedFy_1" localSheetId="61">'74-36-2417'!$G$9</definedName>
    <definedName name="BudgetedFy_1" localSheetId="62">'74-36-2430'!$G$9</definedName>
    <definedName name="BudgetedFy_1" localSheetId="63">'74-36-2440'!$G$9</definedName>
    <definedName name="BudgetedFy_1" localSheetId="64">'74-36-2445'!$G$9</definedName>
    <definedName name="BudgetedFy_1" localSheetId="65">'74-36-2450'!$G$9</definedName>
    <definedName name="BudgetedFy_1" localSheetId="66">'74-36-2455'!$G$9</definedName>
    <definedName name="BudgetedFy_1" localSheetId="67">'74-36-2460'!$G$9</definedName>
    <definedName name="BudgetedFy_1" localSheetId="68">'74-36-2465'!$G$9</definedName>
    <definedName name="BudgetedFy_1" localSheetId="69">'74-36-2470'!$G$9</definedName>
    <definedName name="BudgetedFy_1" localSheetId="70">'74-36-2475'!$G$9</definedName>
    <definedName name="BudgetedFy_1" localSheetId="71">'74-36-2480'!$G$9</definedName>
    <definedName name="BudgetedFy_1" localSheetId="72">'74-36-2485'!$G$9</definedName>
    <definedName name="BudgetedFy_1" localSheetId="75">'74-37'!$G$9</definedName>
    <definedName name="BudgetedFy_1" localSheetId="74">'74-37-2541'!$G$9</definedName>
    <definedName name="BudgetedFy_1" localSheetId="76">'74-74'!$G$9</definedName>
    <definedName name="BudgetedFy_1" localSheetId="77">'78-11'!$G$9</definedName>
    <definedName name="BudgetedFy_1" localSheetId="78">'78-61'!$G$9</definedName>
    <definedName name="BudgetedFy_1" localSheetId="79">'78-62'!$G$9</definedName>
    <definedName name="BudgetedFy_1" localSheetId="80">'78-64'!$G$9</definedName>
    <definedName name="BudgetedFy_1" localSheetId="81">'82-52'!$G$9</definedName>
    <definedName name="BudgetedFy_1" localSheetId="83">'82-72'!$G$9</definedName>
    <definedName name="BudgetedFy_1" localSheetId="82">'82-72-2066'!$G$9</definedName>
    <definedName name="BudgetedFy_1" localSheetId="84">'82-73'!$G$9</definedName>
    <definedName name="BudgetedFy_1" localSheetId="87">'82-74'!$G$9</definedName>
    <definedName name="BudgetedFy_1" localSheetId="100">'82-74-2020'!$G$9</definedName>
    <definedName name="BudgetedFy_1" localSheetId="85">'82-74-2026'!$G$9</definedName>
    <definedName name="BudgetedFy_1" localSheetId="86">'82-74-2034'!$G$9</definedName>
    <definedName name="BudgetedFy_1" localSheetId="101">'82-74-2052'!$G$9</definedName>
    <definedName name="BudgetedFy_1" localSheetId="102">'82-74-2056'!$G$9</definedName>
    <definedName name="BudgetedFy_1" localSheetId="103">'82-74-2057'!$G$9</definedName>
    <definedName name="BudgetedFy_1" localSheetId="104">'82-74-2065'!$G$9</definedName>
    <definedName name="BudgetedFy_1" localSheetId="88">'82-75'!$G$9</definedName>
    <definedName name="BudgetedFy_1" localSheetId="89">'82-76'!$G$9</definedName>
    <definedName name="BudgetedFy_1" localSheetId="93">'82-82'!$G$9</definedName>
    <definedName name="BudgetedFy_1" localSheetId="90">'82-82-2096'!$G$9</definedName>
    <definedName name="BudgetedFy_1" localSheetId="91">'82-82-2097'!$G$9</definedName>
    <definedName name="BudgetedFy_1" localSheetId="92">'82-82-2098'!$G$9</definedName>
    <definedName name="BudgetedFy_1" localSheetId="94">'90-72-9148'!$G$9</definedName>
    <definedName name="BudgetedFy_1" localSheetId="95">'94-74-9410'!$G$9</definedName>
    <definedName name="BudgetedFy_1" localSheetId="96">'98-15'!$G$9</definedName>
    <definedName name="BudgetedFy_1">#REF!</definedName>
    <definedName name="BudgetEstimate" localSheetId="1">'01-71-0001'!$K$9</definedName>
    <definedName name="BudgetEstimate" localSheetId="2">'01-71-0002'!$K$9</definedName>
    <definedName name="BudgetEstimate" localSheetId="3">'01-71-0003'!$K$9</definedName>
    <definedName name="BudgetEstimate" localSheetId="4">'01-77'!$K$9</definedName>
    <definedName name="BudgetEstimate" localSheetId="5">'06-76'!$K$9</definedName>
    <definedName name="BudgetEstimate" localSheetId="6">'10-49'!$K$9</definedName>
    <definedName name="BudgetEstimate" localSheetId="7">'14-52'!$K$9</definedName>
    <definedName name="BudgetEstimate" localSheetId="8">'16-55'!$K$9</definedName>
    <definedName name="BudgetEstimate" localSheetId="9">'22-41'!$K$9</definedName>
    <definedName name="BudgetEstimate" localSheetId="10">'22-55'!$K$9</definedName>
    <definedName name="BudgetEstimate" localSheetId="11">'22-75'!$K$9</definedName>
    <definedName name="BudgetEstimate" localSheetId="12">'22-76'!$K$9</definedName>
    <definedName name="BudgetEstimate" localSheetId="14">'26-16'!$K$9</definedName>
    <definedName name="BudgetEstimate" localSheetId="97">'26-16-7020'!$K$9</definedName>
    <definedName name="BudgetEstimate" localSheetId="13">'26-16-7025'!$K$9</definedName>
    <definedName name="BudgetEstimate" localSheetId="98">'26-16-7030'!$K$9</definedName>
    <definedName name="BudgetEstimate" localSheetId="15">'26-17'!$K$9</definedName>
    <definedName name="BudgetEstimate" localSheetId="16">'26-19'!$K$9</definedName>
    <definedName name="BudgetEstimate" localSheetId="17">'34-31'!$K$9</definedName>
    <definedName name="BudgetEstimate" localSheetId="18">'34-32'!$K$9</definedName>
    <definedName name="BudgetEstimate" localSheetId="19">'34-33'!$K$9</definedName>
    <definedName name="BudgetEstimate" localSheetId="20">'34-34'!$K$9</definedName>
    <definedName name="BudgetEstimate" localSheetId="21">'34-35'!$K$9</definedName>
    <definedName name="BudgetEstimate" localSheetId="22">'42-42'!$K$9</definedName>
    <definedName name="BudgetEstimate" localSheetId="23">'42-43'!$K$9</definedName>
    <definedName name="BudgetEstimate" localSheetId="24">'42-44'!$K$9</definedName>
    <definedName name="BudgetEstimate" localSheetId="25">'42-45'!$K$9</definedName>
    <definedName name="BudgetEstimate" localSheetId="26">'42-46'!$K$9</definedName>
    <definedName name="BudgetEstimate" localSheetId="27">'42-47'!$K$9</definedName>
    <definedName name="BudgetEstimate" localSheetId="28">'46-21'!$K$9</definedName>
    <definedName name="BudgetEstimate" localSheetId="99">'46-21-4280'!$K$9</definedName>
    <definedName name="BudgetEstimate" localSheetId="29">'46-22'!$K$9</definedName>
    <definedName name="BudgetEstimate" localSheetId="31">'46-23'!$K$9</definedName>
    <definedName name="BudgetEstimate" localSheetId="30">'46-23-4290'!$K$9</definedName>
    <definedName name="BudgetEstimate" localSheetId="32">'46-25'!$K$9</definedName>
    <definedName name="BudgetEstimate" localSheetId="33">'54-24-7540'!$K$9</definedName>
    <definedName name="BudgetEstimate" localSheetId="34">'54-26'!$K$9</definedName>
    <definedName name="BudgetEstimate" localSheetId="35">'54-27-7545'!$K$9</definedName>
    <definedName name="BudgetEstimate" localSheetId="37">'54-32'!$K$9</definedName>
    <definedName name="BudgetEstimate" localSheetId="36">'54-32-7601'!$K$9</definedName>
    <definedName name="BudgetEstimate" localSheetId="38">'54-33-7560'!$K$9</definedName>
    <definedName name="BudgetEstimate" localSheetId="39">'54-53-7550'!$K$9</definedName>
    <definedName name="BudgetEstimate" localSheetId="40">'54-55-7580'!$K$9</definedName>
    <definedName name="BudgetEstimate" localSheetId="41">'54-76-7500'!$K$9</definedName>
    <definedName name="BudgetEstimate" localSheetId="42">'62-51'!$K$9</definedName>
    <definedName name="BudgetEstimate" localSheetId="43">'62-53'!$K$9</definedName>
    <definedName name="BudgetEstimate" localSheetId="44">'62-54'!$K$9</definedName>
    <definedName name="BudgetEstimate" localSheetId="45">'62-74'!$K$9</definedName>
    <definedName name="BudgetEstimate" localSheetId="46">'66-12'!$K$9</definedName>
    <definedName name="BudgetEstimate" localSheetId="47">'66-13'!$K$9</definedName>
    <definedName name="BudgetEstimate" localSheetId="48">'66-18'!$K$9</definedName>
    <definedName name="BudgetEstimate" localSheetId="49">'66-19'!$K$9</definedName>
    <definedName name="BudgetEstimate" localSheetId="50">'66-74'!$K$9</definedName>
    <definedName name="BudgetEstimate" localSheetId="51">'66-82'!$K$9</definedName>
    <definedName name="BudgetEstimate" localSheetId="52">'67-14'!$K$9</definedName>
    <definedName name="BudgetEstimate" localSheetId="53">'67-83-3610'!$K$9</definedName>
    <definedName name="BudgetEstimate" localSheetId="54">'67-83-3630'!$K$9</definedName>
    <definedName name="BudgetEstimate" localSheetId="55">'67-83-3640'!$K$9</definedName>
    <definedName name="BudgetEstimate" localSheetId="56">'67-83-3650'!$K$9</definedName>
    <definedName name="BudgetEstimate" localSheetId="73">'74-36'!$K$9</definedName>
    <definedName name="BudgetEstimate" localSheetId="57">'74-36-2405'!$K$9</definedName>
    <definedName name="BudgetEstimate" localSheetId="58">'74-36-2410'!$K$9</definedName>
    <definedName name="BudgetEstimate" localSheetId="59">'74-36-2415'!$K$9</definedName>
    <definedName name="BudgetEstimate" localSheetId="60">'74-36-2416'!$K$9</definedName>
    <definedName name="BudgetEstimate" localSheetId="61">'74-36-2417'!$K$9</definedName>
    <definedName name="BudgetEstimate" localSheetId="62">'74-36-2430'!$K$9</definedName>
    <definedName name="BudgetEstimate" localSheetId="63">'74-36-2440'!$K$9</definedName>
    <definedName name="BudgetEstimate" localSheetId="64">'74-36-2445'!$K$9</definedName>
    <definedName name="BudgetEstimate" localSheetId="65">'74-36-2450'!$K$9</definedName>
    <definedName name="BudgetEstimate" localSheetId="66">'74-36-2455'!$K$9</definedName>
    <definedName name="BudgetEstimate" localSheetId="67">'74-36-2460'!$K$9</definedName>
    <definedName name="BudgetEstimate" localSheetId="68">'74-36-2465'!$K$9</definedName>
    <definedName name="BudgetEstimate" localSheetId="69">'74-36-2470'!$K$9</definedName>
    <definedName name="BudgetEstimate" localSheetId="70">'74-36-2475'!$K$9</definedName>
    <definedName name="BudgetEstimate" localSheetId="71">'74-36-2480'!$K$9</definedName>
    <definedName name="BudgetEstimate" localSheetId="72">'74-36-2485'!$K$9</definedName>
    <definedName name="BudgetEstimate" localSheetId="75">'74-37'!$K$9</definedName>
    <definedName name="BudgetEstimate" localSheetId="74">'74-37-2541'!$K$9</definedName>
    <definedName name="BudgetEstimate" localSheetId="76">'74-74'!$K$9</definedName>
    <definedName name="BudgetEstimate" localSheetId="77">'78-11'!$K$9</definedName>
    <definedName name="BudgetEstimate" localSheetId="78">'78-61'!$K$9</definedName>
    <definedName name="BudgetEstimate" localSheetId="79">'78-62'!$K$9</definedName>
    <definedName name="BudgetEstimate" localSheetId="80">'78-64'!$K$9</definedName>
    <definedName name="BudgetEstimate" localSheetId="81">'82-52'!$K$9</definedName>
    <definedName name="BudgetEstimate" localSheetId="83">'82-72'!$K$9</definedName>
    <definedName name="BudgetEstimate" localSheetId="82">'82-72-2066'!$K$9</definedName>
    <definedName name="BudgetEstimate" localSheetId="84">'82-73'!$K$9</definedName>
    <definedName name="BudgetEstimate" localSheetId="87">'82-74'!$K$9</definedName>
    <definedName name="BudgetEstimate" localSheetId="100">'82-74-2020'!$K$9</definedName>
    <definedName name="BudgetEstimate" localSheetId="85">'82-74-2026'!$K$9</definedName>
    <definedName name="BudgetEstimate" localSheetId="86">'82-74-2034'!$K$9</definedName>
    <definedName name="BudgetEstimate" localSheetId="101">'82-74-2052'!$K$9</definedName>
    <definedName name="BudgetEstimate" localSheetId="102">'82-74-2056'!$K$9</definedName>
    <definedName name="BudgetEstimate" localSheetId="103">'82-74-2057'!$K$9</definedName>
    <definedName name="BudgetEstimate" localSheetId="104">'82-74-2065'!$K$9</definedName>
    <definedName name="BudgetEstimate" localSheetId="88">'82-75'!$K$9</definedName>
    <definedName name="BudgetEstimate" localSheetId="89">'82-76'!$K$9</definedName>
    <definedName name="BudgetEstimate" localSheetId="93">'82-82'!$K$9</definedName>
    <definedName name="BudgetEstimate" localSheetId="90">'82-82-2096'!$K$9</definedName>
    <definedName name="BudgetEstimate" localSheetId="91">'82-82-2097'!$K$9</definedName>
    <definedName name="BudgetEstimate" localSheetId="92">'82-82-2098'!$K$9</definedName>
    <definedName name="BudgetEstimate" localSheetId="94">'90-72-9148'!$K$9</definedName>
    <definedName name="BudgetEstimate" localSheetId="95">'94-74-9410'!$K$9</definedName>
    <definedName name="BudgetEstimate" localSheetId="96">'98-15'!$K$9</definedName>
    <definedName name="BudgetEstimate">#REF!</definedName>
    <definedName name="DeptEstimate">#REF!</definedName>
    <definedName name="Description" localSheetId="1">'01-71-0001'!$A$9</definedName>
    <definedName name="Description" localSheetId="2">'01-71-0002'!$A$9</definedName>
    <definedName name="Description" localSheetId="3">'01-71-0003'!$A$9</definedName>
    <definedName name="Description" localSheetId="4">'01-77'!$A$9</definedName>
    <definedName name="Description" localSheetId="5">'06-76'!$A$9</definedName>
    <definedName name="Description" localSheetId="6">'10-49'!$A$9</definedName>
    <definedName name="Description" localSheetId="7">'14-52'!$A$9</definedName>
    <definedName name="Description" localSheetId="8">'16-55'!$A$9</definedName>
    <definedName name="Description" localSheetId="9">'22-41'!$A$9</definedName>
    <definedName name="Description" localSheetId="10">'22-55'!$A$9</definedName>
    <definedName name="Description" localSheetId="11">'22-75'!$A$9</definedName>
    <definedName name="Description" localSheetId="12">'22-76'!$A$9</definedName>
    <definedName name="Description" localSheetId="14">'26-16'!$A$9</definedName>
    <definedName name="Description" localSheetId="97">'26-16-7020'!$A$9</definedName>
    <definedName name="Description" localSheetId="13">'26-16-7025'!$A$9</definedName>
    <definedName name="Description" localSheetId="98">'26-16-7030'!$A$9</definedName>
    <definedName name="Description" localSheetId="15">'26-17'!$A$9</definedName>
    <definedName name="Description" localSheetId="16">'26-19'!$A$9</definedName>
    <definedName name="Description" localSheetId="17">'34-31'!$A$9</definedName>
    <definedName name="Description" localSheetId="18">'34-32'!$A$9</definedName>
    <definedName name="Description" localSheetId="19">'34-33'!$A$9</definedName>
    <definedName name="Description" localSheetId="20">'34-34'!$A$9</definedName>
    <definedName name="Description" localSheetId="21">'34-35'!$A$9</definedName>
    <definedName name="Description" localSheetId="22">'42-42'!$A$9</definedName>
    <definedName name="Description" localSheetId="23">'42-43'!$A$9</definedName>
    <definedName name="Description" localSheetId="24">'42-44'!$A$9</definedName>
    <definedName name="Description" localSheetId="25">'42-45'!$A$9</definedName>
    <definedName name="Description" localSheetId="26">'42-46'!$A$9</definedName>
    <definedName name="Description" localSheetId="27">'42-47'!$A$9</definedName>
    <definedName name="Description" localSheetId="28">'46-21'!$A$9</definedName>
    <definedName name="Description" localSheetId="99">'46-21-4280'!$A$9</definedName>
    <definedName name="Description" localSheetId="29">'46-22'!$A$9</definedName>
    <definedName name="Description" localSheetId="31">'46-23'!$A$9</definedName>
    <definedName name="Description" localSheetId="30">'46-23-4290'!$A$9</definedName>
    <definedName name="Description" localSheetId="32">'46-25'!$A$9</definedName>
    <definedName name="Description" localSheetId="33">'54-24-7540'!$A$9</definedName>
    <definedName name="Description" localSheetId="34">'54-26'!$A$9</definedName>
    <definedName name="Description" localSheetId="35">'54-27-7545'!$A$9</definedName>
    <definedName name="Description" localSheetId="37">'54-32'!$A$9</definedName>
    <definedName name="Description" localSheetId="36">'54-32-7601'!$A$9</definedName>
    <definedName name="Description" localSheetId="38">'54-33-7560'!$A$9</definedName>
    <definedName name="Description" localSheetId="39">'54-53-7550'!$A$9</definedName>
    <definedName name="Description" localSheetId="40">'54-55-7580'!$A$9</definedName>
    <definedName name="Description" localSheetId="41">'54-76-7500'!$A$9</definedName>
    <definedName name="Description" localSheetId="42">'62-51'!$A$9</definedName>
    <definedName name="Description" localSheetId="43">'62-53'!$A$9</definedName>
    <definedName name="Description" localSheetId="44">'62-54'!$A$9</definedName>
    <definedName name="Description" localSheetId="45">'62-74'!$A$9</definedName>
    <definedName name="Description" localSheetId="46">'66-12'!$A$9</definedName>
    <definedName name="Description" localSheetId="47">'66-13'!$A$9</definedName>
    <definedName name="Description" localSheetId="48">'66-18'!$A$9</definedName>
    <definedName name="Description" localSheetId="49">'66-19'!$A$9</definedName>
    <definedName name="Description" localSheetId="50">'66-74'!$A$9</definedName>
    <definedName name="Description" localSheetId="51">'66-82'!$A$9</definedName>
    <definedName name="Description" localSheetId="52">'67-14'!$A$9</definedName>
    <definedName name="Description" localSheetId="53">'67-83-3610'!$A$9</definedName>
    <definedName name="Description" localSheetId="54">'67-83-3630'!$A$9</definedName>
    <definedName name="Description" localSheetId="55">'67-83-3640'!$A$9</definedName>
    <definedName name="Description" localSheetId="56">'67-83-3650'!$A$9</definedName>
    <definedName name="Description" localSheetId="73">'74-36'!$A$9</definedName>
    <definedName name="Description" localSheetId="57">'74-36-2405'!$A$9</definedName>
    <definedName name="Description" localSheetId="58">'74-36-2410'!$A$9</definedName>
    <definedName name="Description" localSheetId="59">'74-36-2415'!$A$9</definedName>
    <definedName name="Description" localSheetId="60">'74-36-2416'!$A$9</definedName>
    <definedName name="Description" localSheetId="61">'74-36-2417'!$A$9</definedName>
    <definedName name="Description" localSheetId="62">'74-36-2430'!$A$9</definedName>
    <definedName name="Description" localSheetId="63">'74-36-2440'!$A$9</definedName>
    <definedName name="Description" localSheetId="64">'74-36-2445'!$A$9</definedName>
    <definedName name="Description" localSheetId="65">'74-36-2450'!$A$9</definedName>
    <definedName name="Description" localSheetId="66">'74-36-2455'!$A$9</definedName>
    <definedName name="Description" localSheetId="67">'74-36-2460'!$A$9</definedName>
    <definedName name="Description" localSheetId="68">'74-36-2465'!$A$9</definedName>
    <definedName name="Description" localSheetId="69">'74-36-2470'!$A$9</definedName>
    <definedName name="Description" localSheetId="70">'74-36-2475'!$A$9</definedName>
    <definedName name="Description" localSheetId="71">'74-36-2480'!$A$9</definedName>
    <definedName name="Description" localSheetId="72">'74-36-2485'!$A$9</definedName>
    <definedName name="Description" localSheetId="75">'74-37'!$A$9</definedName>
    <definedName name="Description" localSheetId="74">'74-37-2541'!$A$9</definedName>
    <definedName name="Description" localSheetId="76">'74-74'!$A$9</definedName>
    <definedName name="Description" localSheetId="77">'78-11'!$A$9</definedName>
    <definedName name="Description" localSheetId="78">'78-61'!$A$9</definedName>
    <definedName name="Description" localSheetId="79">'78-62'!$A$9</definedName>
    <definedName name="Description" localSheetId="80">'78-64'!$A$9</definedName>
    <definedName name="Description" localSheetId="81">'82-52'!$A$9</definedName>
    <definedName name="Description" localSheetId="83">'82-72'!$A$9</definedName>
    <definedName name="Description" localSheetId="82">'82-72-2066'!$A$9</definedName>
    <definedName name="Description" localSheetId="84">'82-73'!$A$9</definedName>
    <definedName name="Description" localSheetId="87">'82-74'!$A$9</definedName>
    <definedName name="Description" localSheetId="100">'82-74-2020'!$A$9</definedName>
    <definedName name="Description" localSheetId="85">'82-74-2026'!$A$9</definedName>
    <definedName name="Description" localSheetId="86">'82-74-2034'!$A$9</definedName>
    <definedName name="Description" localSheetId="101">'82-74-2052'!$A$9</definedName>
    <definedName name="Description" localSheetId="102">'82-74-2056'!$A$9</definedName>
    <definedName name="Description" localSheetId="103">'82-74-2057'!$A$9</definedName>
    <definedName name="Description" localSheetId="104">'82-74-2065'!$A$9</definedName>
    <definedName name="Description" localSheetId="88">'82-75'!$A$9</definedName>
    <definedName name="Description" localSheetId="89">'82-76'!$A$9</definedName>
    <definedName name="Description" localSheetId="93">'82-82'!$A$9</definedName>
    <definedName name="Description" localSheetId="90">'82-82-2096'!$A$9</definedName>
    <definedName name="Description" localSheetId="91">'82-82-2097'!$A$9</definedName>
    <definedName name="Description" localSheetId="92">'82-82-2098'!$A$9</definedName>
    <definedName name="Description" localSheetId="94">'90-72-9148'!$A$9</definedName>
    <definedName name="Description" localSheetId="95">'94-74-9410'!$A$9</definedName>
    <definedName name="Description" localSheetId="96">'98-15'!$A$9</definedName>
    <definedName name="Description">#REF!</definedName>
    <definedName name="FiscalYear" localSheetId="1">'01-71-0001'!$B$1</definedName>
    <definedName name="FiscalYear" localSheetId="2">'01-71-0002'!$B$1</definedName>
    <definedName name="FiscalYear" localSheetId="3">'01-71-0003'!$B$1</definedName>
    <definedName name="FiscalYear" localSheetId="4">'01-77'!$B$1</definedName>
    <definedName name="FiscalYear" localSheetId="5">'06-76'!$B$1</definedName>
    <definedName name="FiscalYear" localSheetId="6">'10-49'!$B$1</definedName>
    <definedName name="FiscalYear" localSheetId="7">'14-52'!$B$1</definedName>
    <definedName name="FiscalYear" localSheetId="8">'16-55'!$B$1</definedName>
    <definedName name="FiscalYear" localSheetId="9">'22-41'!$B$1</definedName>
    <definedName name="FiscalYear" localSheetId="10">'22-55'!$B$1</definedName>
    <definedName name="FiscalYear" localSheetId="11">'22-75'!$B$1</definedName>
    <definedName name="FiscalYear" localSheetId="12">'22-76'!$B$1</definedName>
    <definedName name="FiscalYear" localSheetId="14">'26-16'!$B$1</definedName>
    <definedName name="FiscalYear" localSheetId="97">'26-16-7020'!$B$1</definedName>
    <definedName name="FiscalYear" localSheetId="13">'26-16-7025'!$B$1</definedName>
    <definedName name="FiscalYear" localSheetId="98">'26-16-7030'!$B$1</definedName>
    <definedName name="FiscalYear" localSheetId="15">'26-17'!$B$1</definedName>
    <definedName name="FiscalYear" localSheetId="16">'26-19'!$B$1</definedName>
    <definedName name="FiscalYear" localSheetId="17">'34-31'!$B$1</definedName>
    <definedName name="FiscalYear" localSheetId="18">'34-32'!$B$1</definedName>
    <definedName name="FiscalYear" localSheetId="19">'34-33'!$B$1</definedName>
    <definedName name="FiscalYear" localSheetId="20">'34-34'!$B$1</definedName>
    <definedName name="FiscalYear" localSheetId="21">'34-35'!$B$1</definedName>
    <definedName name="FiscalYear" localSheetId="22">'42-42'!$B$1</definedName>
    <definedName name="FiscalYear" localSheetId="23">'42-43'!$B$1</definedName>
    <definedName name="FiscalYear" localSheetId="24">'42-44'!$B$1</definedName>
    <definedName name="FiscalYear" localSheetId="25">'42-45'!$B$1</definedName>
    <definedName name="FiscalYear" localSheetId="26">'42-46'!$B$1</definedName>
    <definedName name="FiscalYear" localSheetId="27">'42-47'!$B$1</definedName>
    <definedName name="FiscalYear" localSheetId="28">'46-21'!$B$1</definedName>
    <definedName name="FiscalYear" localSheetId="99">'46-21-4280'!$B$1</definedName>
    <definedName name="FiscalYear" localSheetId="29">'46-22'!$B$1</definedName>
    <definedName name="FiscalYear" localSheetId="31">'46-23'!$B$1</definedName>
    <definedName name="FiscalYear" localSheetId="30">'46-23-4290'!$B$1</definedName>
    <definedName name="FiscalYear" localSheetId="32">'46-25'!$B$1</definedName>
    <definedName name="FiscalYear" localSheetId="33">'54-24-7540'!$B$1</definedName>
    <definedName name="FiscalYear" localSheetId="34">'54-26'!$B$1</definedName>
    <definedName name="FiscalYear" localSheetId="35">'54-27-7545'!$B$1</definedName>
    <definedName name="FiscalYear" localSheetId="37">'54-32'!$B$1</definedName>
    <definedName name="FiscalYear" localSheetId="36">'54-32-7601'!$B$1</definedName>
    <definedName name="FiscalYear" localSheetId="38">'54-33-7560'!$B$1</definedName>
    <definedName name="FiscalYear" localSheetId="39">'54-53-7550'!$B$1</definedName>
    <definedName name="FiscalYear" localSheetId="40">'54-55-7580'!$B$1</definedName>
    <definedName name="FiscalYear" localSheetId="41">'54-76-7500'!$B$1</definedName>
    <definedName name="FiscalYear" localSheetId="42">'62-51'!$B$1</definedName>
    <definedName name="FiscalYear" localSheetId="43">'62-53'!$B$1</definedName>
    <definedName name="FiscalYear" localSheetId="44">'62-54'!$B$1</definedName>
    <definedName name="FiscalYear" localSheetId="45">'62-74'!$B$1</definedName>
    <definedName name="FiscalYear" localSheetId="46">'66-12'!$B$1</definedName>
    <definedName name="FiscalYear" localSheetId="47">'66-13'!$B$1</definedName>
    <definedName name="FiscalYear" localSheetId="48">'66-18'!$B$1</definedName>
    <definedName name="FiscalYear" localSheetId="49">'66-19'!$B$1</definedName>
    <definedName name="FiscalYear" localSheetId="50">'66-74'!$B$1</definedName>
    <definedName name="FiscalYear" localSheetId="51">'66-82'!$B$1</definedName>
    <definedName name="FiscalYear" localSheetId="52">'67-14'!$B$1</definedName>
    <definedName name="FiscalYear" localSheetId="53">'67-83-3610'!$B$1</definedName>
    <definedName name="FiscalYear" localSheetId="54">'67-83-3630'!$B$1</definedName>
    <definedName name="FiscalYear" localSheetId="55">'67-83-3640'!$B$1</definedName>
    <definedName name="FiscalYear" localSheetId="56">'67-83-3650'!$B$1</definedName>
    <definedName name="FiscalYear" localSheetId="73">'74-36'!$B$1</definedName>
    <definedName name="FiscalYear" localSheetId="57">'74-36-2405'!$B$1</definedName>
    <definedName name="FiscalYear" localSheetId="58">'74-36-2410'!$B$1</definedName>
    <definedName name="FiscalYear" localSheetId="59">'74-36-2415'!$B$1</definedName>
    <definedName name="FiscalYear" localSheetId="60">'74-36-2416'!$B$1</definedName>
    <definedName name="FiscalYear" localSheetId="61">'74-36-2417'!$B$1</definedName>
    <definedName name="FiscalYear" localSheetId="62">'74-36-2430'!$B$1</definedName>
    <definedName name="FiscalYear" localSheetId="63">'74-36-2440'!$B$1</definedName>
    <definedName name="FiscalYear" localSheetId="64">'74-36-2445'!$B$1</definedName>
    <definedName name="FiscalYear" localSheetId="65">'74-36-2450'!$B$1</definedName>
    <definedName name="FiscalYear" localSheetId="66">'74-36-2455'!$B$1</definedName>
    <definedName name="FiscalYear" localSheetId="67">'74-36-2460'!$B$1</definedName>
    <definedName name="FiscalYear" localSheetId="68">'74-36-2465'!$B$1</definedName>
    <definedName name="FiscalYear" localSheetId="69">'74-36-2470'!$B$1</definedName>
    <definedName name="FiscalYear" localSheetId="70">'74-36-2475'!$B$1</definedName>
    <definedName name="FiscalYear" localSheetId="71">'74-36-2480'!$B$1</definedName>
    <definedName name="FiscalYear" localSheetId="72">'74-36-2485'!$B$1</definedName>
    <definedName name="FiscalYear" localSheetId="75">'74-37'!$B$1</definedName>
    <definedName name="FiscalYear" localSheetId="74">'74-37-2541'!$B$1</definedName>
    <definedName name="FiscalYear" localSheetId="76">'74-74'!$B$1</definedName>
    <definedName name="FiscalYear" localSheetId="77">'78-11'!$B$1</definedName>
    <definedName name="FiscalYear" localSheetId="78">'78-61'!$B$1</definedName>
    <definedName name="FiscalYear" localSheetId="79">'78-62'!$B$1</definedName>
    <definedName name="FiscalYear" localSheetId="80">'78-64'!$B$1</definedName>
    <definedName name="FiscalYear" localSheetId="81">'82-52'!$B$1</definedName>
    <definedName name="FiscalYear" localSheetId="83">'82-72'!$B$1</definedName>
    <definedName name="FiscalYear" localSheetId="82">'82-72-2066'!$B$1</definedName>
    <definedName name="FiscalYear" localSheetId="84">'82-73'!$B$1</definedName>
    <definedName name="FiscalYear" localSheetId="87">'82-74'!$B$1</definedName>
    <definedName name="FiscalYear" localSheetId="100">'82-74-2020'!$B$1</definedName>
    <definedName name="FiscalYear" localSheetId="85">'82-74-2026'!$B$1</definedName>
    <definedName name="FiscalYear" localSheetId="86">'82-74-2034'!$B$1</definedName>
    <definedName name="FiscalYear" localSheetId="101">'82-74-2052'!$B$1</definedName>
    <definedName name="FiscalYear" localSheetId="102">'82-74-2056'!$B$1</definedName>
    <definedName name="FiscalYear" localSheetId="103">'82-74-2057'!$B$1</definedName>
    <definedName name="FiscalYear" localSheetId="104">'82-74-2065'!$B$1</definedName>
    <definedName name="FiscalYear" localSheetId="88">'82-75'!$B$1</definedName>
    <definedName name="FiscalYear" localSheetId="89">'82-76'!$B$1</definedName>
    <definedName name="FiscalYear" localSheetId="93">'82-82'!$B$1</definedName>
    <definedName name="FiscalYear" localSheetId="90">'82-82-2096'!$B$1</definedName>
    <definedName name="FiscalYear" localSheetId="91">'82-82-2097'!$B$1</definedName>
    <definedName name="FiscalYear" localSheetId="92">'82-82-2098'!$B$1</definedName>
    <definedName name="FiscalYear" localSheetId="94">'90-72-9148'!$B$1</definedName>
    <definedName name="FiscalYear" localSheetId="95">'94-74-9410'!$B$1</definedName>
    <definedName name="FiscalYear" localSheetId="96">'98-15'!$B$1</definedName>
    <definedName name="FiscalYear">#REF!</definedName>
    <definedName name="Fy_2" localSheetId="1">'01-71-0001'!$E$9</definedName>
    <definedName name="Fy_2" localSheetId="2">'01-71-0002'!$E$9</definedName>
    <definedName name="Fy_2" localSheetId="3">'01-71-0003'!$E$9</definedName>
    <definedName name="Fy_2" localSheetId="4">'01-77'!$E$9</definedName>
    <definedName name="Fy_2" localSheetId="5">'06-76'!$E$9</definedName>
    <definedName name="Fy_2" localSheetId="6">'10-49'!$E$9</definedName>
    <definedName name="Fy_2" localSheetId="7">'14-52'!$E$9</definedName>
    <definedName name="Fy_2" localSheetId="8">'16-55'!$E$9</definedName>
    <definedName name="Fy_2" localSheetId="9">'22-41'!$E$9</definedName>
    <definedName name="Fy_2" localSheetId="10">'22-55'!$E$9</definedName>
    <definedName name="Fy_2" localSheetId="11">'22-75'!$E$9</definedName>
    <definedName name="Fy_2" localSheetId="12">'22-76'!$E$9</definedName>
    <definedName name="Fy_2" localSheetId="14">'26-16'!$E$9</definedName>
    <definedName name="Fy_2" localSheetId="97">'26-16-7020'!$E$9</definedName>
    <definedName name="Fy_2" localSheetId="13">'26-16-7025'!$E$9</definedName>
    <definedName name="Fy_2" localSheetId="98">'26-16-7030'!$E$9</definedName>
    <definedName name="Fy_2" localSheetId="15">'26-17'!$E$9</definedName>
    <definedName name="Fy_2" localSheetId="16">'26-19'!$E$9</definedName>
    <definedName name="Fy_2" localSheetId="17">'34-31'!$E$9</definedName>
    <definedName name="Fy_2" localSheetId="18">'34-32'!$E$9</definedName>
    <definedName name="Fy_2" localSheetId="19">'34-33'!$E$9</definedName>
    <definedName name="Fy_2" localSheetId="20">'34-34'!$E$9</definedName>
    <definedName name="Fy_2" localSheetId="21">'34-35'!$E$9</definedName>
    <definedName name="Fy_2" localSheetId="22">'42-42'!$E$9</definedName>
    <definedName name="Fy_2" localSheetId="23">'42-43'!$E$9</definedName>
    <definedName name="Fy_2" localSheetId="24">'42-44'!$E$9</definedName>
    <definedName name="Fy_2" localSheetId="25">'42-45'!$E$9</definedName>
    <definedName name="Fy_2" localSheetId="26">'42-46'!$E$9</definedName>
    <definedName name="Fy_2" localSheetId="27">'42-47'!$E$9</definedName>
    <definedName name="Fy_2" localSheetId="28">'46-21'!$E$9</definedName>
    <definedName name="Fy_2" localSheetId="99">'46-21-4280'!$E$9</definedName>
    <definedName name="Fy_2" localSheetId="29">'46-22'!$E$9</definedName>
    <definedName name="Fy_2" localSheetId="31">'46-23'!$E$9</definedName>
    <definedName name="Fy_2" localSheetId="30">'46-23-4290'!$E$9</definedName>
    <definedName name="Fy_2" localSheetId="32">'46-25'!$E$9</definedName>
    <definedName name="Fy_2" localSheetId="33">'54-24-7540'!$E$9</definedName>
    <definedName name="Fy_2" localSheetId="34">'54-26'!$E$9</definedName>
    <definedName name="Fy_2" localSheetId="35">'54-27-7545'!$E$9</definedName>
    <definedName name="Fy_2" localSheetId="37">'54-32'!$E$9</definedName>
    <definedName name="Fy_2" localSheetId="36">'54-32-7601'!$E$9</definedName>
    <definedName name="Fy_2" localSheetId="38">'54-33-7560'!$E$9</definedName>
    <definedName name="Fy_2" localSheetId="39">'54-53-7550'!$E$9</definedName>
    <definedName name="Fy_2" localSheetId="40">'54-55-7580'!$E$9</definedName>
    <definedName name="Fy_2" localSheetId="41">'54-76-7500'!$E$9</definedName>
    <definedName name="Fy_2" localSheetId="42">'62-51'!$E$9</definedName>
    <definedName name="Fy_2" localSheetId="43">'62-53'!$E$9</definedName>
    <definedName name="Fy_2" localSheetId="44">'62-54'!$E$9</definedName>
    <definedName name="Fy_2" localSheetId="45">'62-74'!$E$9</definedName>
    <definedName name="Fy_2" localSheetId="46">'66-12'!$E$9</definedName>
    <definedName name="Fy_2" localSheetId="47">'66-13'!$E$9</definedName>
    <definedName name="Fy_2" localSheetId="48">'66-18'!$E$9</definedName>
    <definedName name="Fy_2" localSheetId="49">'66-19'!$E$9</definedName>
    <definedName name="Fy_2" localSheetId="50">'66-74'!$E$9</definedName>
    <definedName name="Fy_2" localSheetId="51">'66-82'!$E$9</definedName>
    <definedName name="Fy_2" localSheetId="52">'67-14'!$E$9</definedName>
    <definedName name="Fy_2" localSheetId="53">'67-83-3610'!$E$9</definedName>
    <definedName name="Fy_2" localSheetId="54">'67-83-3630'!$E$9</definedName>
    <definedName name="Fy_2" localSheetId="55">'67-83-3640'!$E$9</definedName>
    <definedName name="Fy_2" localSheetId="56">'67-83-3650'!$E$9</definedName>
    <definedName name="Fy_2" localSheetId="73">'74-36'!$E$9</definedName>
    <definedName name="Fy_2" localSheetId="57">'74-36-2405'!$E$9</definedName>
    <definedName name="Fy_2" localSheetId="58">'74-36-2410'!$E$9</definedName>
    <definedName name="Fy_2" localSheetId="59">'74-36-2415'!$E$9</definedName>
    <definedName name="Fy_2" localSheetId="60">'74-36-2416'!$E$9</definedName>
    <definedName name="Fy_2" localSheetId="61">'74-36-2417'!$E$9</definedName>
    <definedName name="Fy_2" localSheetId="62">'74-36-2430'!$E$9</definedName>
    <definedName name="Fy_2" localSheetId="63">'74-36-2440'!$E$9</definedName>
    <definedName name="Fy_2" localSheetId="64">'74-36-2445'!$E$9</definedName>
    <definedName name="Fy_2" localSheetId="65">'74-36-2450'!$E$9</definedName>
    <definedName name="Fy_2" localSheetId="66">'74-36-2455'!$E$9</definedName>
    <definedName name="Fy_2" localSheetId="67">'74-36-2460'!$E$9</definedName>
    <definedName name="Fy_2" localSheetId="68">'74-36-2465'!$E$9</definedName>
    <definedName name="Fy_2" localSheetId="69">'74-36-2470'!$E$9</definedName>
    <definedName name="Fy_2" localSheetId="70">'74-36-2475'!$E$9</definedName>
    <definedName name="Fy_2" localSheetId="71">'74-36-2480'!$E$9</definedName>
    <definedName name="Fy_2" localSheetId="72">'74-36-2485'!$E$9</definedName>
    <definedName name="Fy_2" localSheetId="75">'74-37'!$E$9</definedName>
    <definedName name="Fy_2" localSheetId="74">'74-37-2541'!$E$9</definedName>
    <definedName name="Fy_2" localSheetId="76">'74-74'!$E$9</definedName>
    <definedName name="Fy_2" localSheetId="77">'78-11'!$E$9</definedName>
    <definedName name="Fy_2" localSheetId="78">'78-61'!$E$9</definedName>
    <definedName name="Fy_2" localSheetId="79">'78-62'!$E$9</definedName>
    <definedName name="Fy_2" localSheetId="80">'78-64'!$E$9</definedName>
    <definedName name="Fy_2" localSheetId="81">'82-52'!$E$9</definedName>
    <definedName name="Fy_2" localSheetId="83">'82-72'!$E$9</definedName>
    <definedName name="Fy_2" localSheetId="82">'82-72-2066'!$E$9</definedName>
    <definedName name="Fy_2" localSheetId="84">'82-73'!$E$9</definedName>
    <definedName name="Fy_2" localSheetId="87">'82-74'!$E$9</definedName>
    <definedName name="Fy_2" localSheetId="100">'82-74-2020'!$E$9</definedName>
    <definedName name="Fy_2" localSheetId="85">'82-74-2026'!$E$9</definedName>
    <definedName name="Fy_2" localSheetId="86">'82-74-2034'!$E$9</definedName>
    <definedName name="Fy_2" localSheetId="101">'82-74-2052'!$E$9</definedName>
    <definedName name="Fy_2" localSheetId="102">'82-74-2056'!$E$9</definedName>
    <definedName name="Fy_2" localSheetId="103">'82-74-2057'!$E$9</definedName>
    <definedName name="Fy_2" localSheetId="104">'82-74-2065'!$E$9</definedName>
    <definedName name="Fy_2" localSheetId="88">'82-75'!$E$9</definedName>
    <definedName name="Fy_2" localSheetId="89">'82-76'!$E$9</definedName>
    <definedName name="Fy_2" localSheetId="93">'82-82'!$E$9</definedName>
    <definedName name="Fy_2" localSheetId="90">'82-82-2096'!$E$9</definedName>
    <definedName name="Fy_2" localSheetId="91">'82-82-2097'!$E$9</definedName>
    <definedName name="Fy_2" localSheetId="92">'82-82-2098'!$E$9</definedName>
    <definedName name="Fy_2" localSheetId="94">'90-72-9148'!$E$9</definedName>
    <definedName name="Fy_2" localSheetId="95">'94-74-9410'!$E$9</definedName>
    <definedName name="Fy_2" localSheetId="96">'98-15'!$E$9</definedName>
    <definedName name="Fy_2">#REF!</definedName>
    <definedName name="Fy_3" localSheetId="1">'01-71-0001'!$C$9</definedName>
    <definedName name="Fy_3" localSheetId="2">'01-71-0002'!$C$9</definedName>
    <definedName name="Fy_3" localSheetId="3">'01-71-0003'!$C$9</definedName>
    <definedName name="Fy_3" localSheetId="4">'01-77'!$C$9</definedName>
    <definedName name="Fy_3" localSheetId="5">'06-76'!$C$9</definedName>
    <definedName name="Fy_3" localSheetId="6">'10-49'!$C$9</definedName>
    <definedName name="Fy_3" localSheetId="7">'14-52'!$C$9</definedName>
    <definedName name="Fy_3" localSheetId="8">'16-55'!$C$9</definedName>
    <definedName name="Fy_3" localSheetId="9">'22-41'!$C$9</definedName>
    <definedName name="Fy_3" localSheetId="10">'22-55'!$C$9</definedName>
    <definedName name="Fy_3" localSheetId="11">'22-75'!$C$9</definedName>
    <definedName name="Fy_3" localSheetId="12">'22-76'!$C$9</definedName>
    <definedName name="Fy_3" localSheetId="14">'26-16'!$C$9</definedName>
    <definedName name="Fy_3" localSheetId="97">'26-16-7020'!$C$9</definedName>
    <definedName name="Fy_3" localSheetId="13">'26-16-7025'!$C$9</definedName>
    <definedName name="Fy_3" localSheetId="98">'26-16-7030'!$C$9</definedName>
    <definedName name="Fy_3" localSheetId="15">'26-17'!$C$9</definedName>
    <definedName name="Fy_3" localSheetId="16">'26-19'!$C$9</definedName>
    <definedName name="Fy_3" localSheetId="17">'34-31'!$C$9</definedName>
    <definedName name="Fy_3" localSheetId="18">'34-32'!$C$9</definedName>
    <definedName name="Fy_3" localSheetId="19">'34-33'!$C$9</definedName>
    <definedName name="Fy_3" localSheetId="20">'34-34'!$C$9</definedName>
    <definedName name="Fy_3" localSheetId="21">'34-35'!$C$9</definedName>
    <definedName name="Fy_3" localSheetId="22">'42-42'!$C$9</definedName>
    <definedName name="Fy_3" localSheetId="23">'42-43'!$C$9</definedName>
    <definedName name="Fy_3" localSheetId="24">'42-44'!$C$9</definedName>
    <definedName name="Fy_3" localSheetId="25">'42-45'!$C$9</definedName>
    <definedName name="Fy_3" localSheetId="26">'42-46'!$C$9</definedName>
    <definedName name="Fy_3" localSheetId="27">'42-47'!$C$9</definedName>
    <definedName name="Fy_3" localSheetId="28">'46-21'!$C$9</definedName>
    <definedName name="Fy_3" localSheetId="99">'46-21-4280'!$C$9</definedName>
    <definedName name="Fy_3" localSheetId="29">'46-22'!$C$9</definedName>
    <definedName name="Fy_3" localSheetId="31">'46-23'!$C$9</definedName>
    <definedName name="Fy_3" localSheetId="30">'46-23-4290'!$C$9</definedName>
    <definedName name="Fy_3" localSheetId="32">'46-25'!$C$9</definedName>
    <definedName name="Fy_3" localSheetId="33">'54-24-7540'!$C$9</definedName>
    <definedName name="Fy_3" localSheetId="34">'54-26'!$C$9</definedName>
    <definedName name="Fy_3" localSheetId="35">'54-27-7545'!$C$9</definedName>
    <definedName name="Fy_3" localSheetId="37">'54-32'!$C$9</definedName>
    <definedName name="Fy_3" localSheetId="36">'54-32-7601'!$C$9</definedName>
    <definedName name="Fy_3" localSheetId="38">'54-33-7560'!$C$9</definedName>
    <definedName name="Fy_3" localSheetId="39">'54-53-7550'!$C$9</definedName>
    <definedName name="Fy_3" localSheetId="40">'54-55-7580'!$C$9</definedName>
    <definedName name="Fy_3" localSheetId="41">'54-76-7500'!$C$9</definedName>
    <definedName name="Fy_3" localSheetId="42">'62-51'!$C$9</definedName>
    <definedName name="Fy_3" localSheetId="43">'62-53'!$C$9</definedName>
    <definedName name="Fy_3" localSheetId="44">'62-54'!$C$9</definedName>
    <definedName name="Fy_3" localSheetId="45">'62-74'!$C$9</definedName>
    <definedName name="Fy_3" localSheetId="46">'66-12'!$C$9</definedName>
    <definedName name="Fy_3" localSheetId="47">'66-13'!$C$9</definedName>
    <definedName name="Fy_3" localSheetId="48">'66-18'!$C$9</definedName>
    <definedName name="Fy_3" localSheetId="49">'66-19'!$C$9</definedName>
    <definedName name="Fy_3" localSheetId="50">'66-74'!$C$9</definedName>
    <definedName name="Fy_3" localSheetId="51">'66-82'!$C$9</definedName>
    <definedName name="Fy_3" localSheetId="52">'67-14'!$C$9</definedName>
    <definedName name="Fy_3" localSheetId="53">'67-83-3610'!$C$9</definedName>
    <definedName name="Fy_3" localSheetId="54">'67-83-3630'!$C$9</definedName>
    <definedName name="Fy_3" localSheetId="55">'67-83-3640'!$C$9</definedName>
    <definedName name="Fy_3" localSheetId="56">'67-83-3650'!$C$9</definedName>
    <definedName name="Fy_3" localSheetId="73">'74-36'!$C$9</definedName>
    <definedName name="Fy_3" localSheetId="57">'74-36-2405'!$C$9</definedName>
    <definedName name="Fy_3" localSheetId="58">'74-36-2410'!$C$9</definedName>
    <definedName name="Fy_3" localSheetId="59">'74-36-2415'!$C$9</definedName>
    <definedName name="Fy_3" localSheetId="60">'74-36-2416'!$C$9</definedName>
    <definedName name="Fy_3" localSheetId="61">'74-36-2417'!$C$9</definedName>
    <definedName name="Fy_3" localSheetId="62">'74-36-2430'!$C$9</definedName>
    <definedName name="Fy_3" localSheetId="63">'74-36-2440'!$C$9</definedName>
    <definedName name="Fy_3" localSheetId="64">'74-36-2445'!$C$9</definedName>
    <definedName name="Fy_3" localSheetId="65">'74-36-2450'!$C$9</definedName>
    <definedName name="Fy_3" localSheetId="66">'74-36-2455'!$C$9</definedName>
    <definedName name="Fy_3" localSheetId="67">'74-36-2460'!$C$9</definedName>
    <definedName name="Fy_3" localSheetId="68">'74-36-2465'!$C$9</definedName>
    <definedName name="Fy_3" localSheetId="69">'74-36-2470'!$C$9</definedName>
    <definedName name="Fy_3" localSheetId="70">'74-36-2475'!$C$9</definedName>
    <definedName name="Fy_3" localSheetId="71">'74-36-2480'!$C$9</definedName>
    <definedName name="Fy_3" localSheetId="72">'74-36-2485'!$C$9</definedName>
    <definedName name="Fy_3" localSheetId="75">'74-37'!$C$9</definedName>
    <definedName name="Fy_3" localSheetId="74">'74-37-2541'!$C$9</definedName>
    <definedName name="Fy_3" localSheetId="76">'74-74'!$C$9</definedName>
    <definedName name="Fy_3" localSheetId="77">'78-11'!$C$9</definedName>
    <definedName name="Fy_3" localSheetId="78">'78-61'!$C$9</definedName>
    <definedName name="Fy_3" localSheetId="79">'78-62'!$C$9</definedName>
    <definedName name="Fy_3" localSheetId="80">'78-64'!$C$9</definedName>
    <definedName name="Fy_3" localSheetId="81">'82-52'!$C$9</definedName>
    <definedName name="Fy_3" localSheetId="83">'82-72'!$C$9</definedName>
    <definedName name="Fy_3" localSheetId="82">'82-72-2066'!$C$9</definedName>
    <definedName name="Fy_3" localSheetId="84">'82-73'!$C$9</definedName>
    <definedName name="Fy_3" localSheetId="87">'82-74'!$C$9</definedName>
    <definedName name="Fy_3" localSheetId="100">'82-74-2020'!$C$9</definedName>
    <definedName name="Fy_3" localSheetId="85">'82-74-2026'!$C$9</definedName>
    <definedName name="Fy_3" localSheetId="86">'82-74-2034'!$C$9</definedName>
    <definedName name="Fy_3" localSheetId="101">'82-74-2052'!$C$9</definedName>
    <definedName name="Fy_3" localSheetId="102">'82-74-2056'!$C$9</definedName>
    <definedName name="Fy_3" localSheetId="103">'82-74-2057'!$C$9</definedName>
    <definedName name="Fy_3" localSheetId="104">'82-74-2065'!$C$9</definedName>
    <definedName name="Fy_3" localSheetId="88">'82-75'!$C$9</definedName>
    <definedName name="Fy_3" localSheetId="89">'82-76'!$C$9</definedName>
    <definedName name="Fy_3" localSheetId="93">'82-82'!$C$9</definedName>
    <definedName name="Fy_3" localSheetId="90">'82-82-2096'!$C$9</definedName>
    <definedName name="Fy_3" localSheetId="91">'82-82-2097'!$C$9</definedName>
    <definedName name="Fy_3" localSheetId="92">'82-82-2098'!$C$9</definedName>
    <definedName name="Fy_3" localSheetId="94">'90-72-9148'!$C$9</definedName>
    <definedName name="Fy_3" localSheetId="95">'94-74-9410'!$C$9</definedName>
    <definedName name="Fy_3" localSheetId="96">'98-15'!$C$9</definedName>
    <definedName name="Fy_3">#REF!</definedName>
    <definedName name="GoTo_Index">Index!#REF!</definedName>
    <definedName name="ileafHeader" localSheetId="1">'01-71-0001'!$7:$9</definedName>
    <definedName name="ileafHeader" localSheetId="2">'01-71-0002'!$7:$9</definedName>
    <definedName name="ileafHeader" localSheetId="3">'01-71-0003'!$7:$9</definedName>
    <definedName name="ileafHeader" localSheetId="4">'01-77'!$7:$9</definedName>
    <definedName name="ileafHeader" localSheetId="5">'06-76'!$7:$9</definedName>
    <definedName name="ileafHeader" localSheetId="6">'10-49'!$7:$9</definedName>
    <definedName name="ileafHeader" localSheetId="7">'14-52'!$7:$9</definedName>
    <definedName name="ileafHeader" localSheetId="8">'16-55'!$7:$9</definedName>
    <definedName name="ileafHeader" localSheetId="9">'22-41'!$7:$9</definedName>
    <definedName name="ileafHeader" localSheetId="10">'22-55'!$7:$9</definedName>
    <definedName name="ileafHeader" localSheetId="11">'22-75'!$7:$9</definedName>
    <definedName name="ileafHeader" localSheetId="12">'22-76'!$7:$9</definedName>
    <definedName name="ileafHeader" localSheetId="14">'26-16'!$7:$9</definedName>
    <definedName name="ileafHeader" localSheetId="97">'26-16-7020'!$7:$9</definedName>
    <definedName name="ileafHeader" localSheetId="13">'26-16-7025'!$7:$9</definedName>
    <definedName name="ileafHeader" localSheetId="98">'26-16-7030'!$7:$9</definedName>
    <definedName name="ileafHeader" localSheetId="15">'26-17'!$7:$9</definedName>
    <definedName name="ileafHeader" localSheetId="16">'26-19'!$7:$9</definedName>
    <definedName name="ileafHeader" localSheetId="17">'34-31'!$7:$9</definedName>
    <definedName name="ileafHeader" localSheetId="18">'34-32'!$7:$9</definedName>
    <definedName name="ileafHeader" localSheetId="19">'34-33'!$7:$9</definedName>
    <definedName name="ileafHeader" localSheetId="20">'34-34'!$7:$9</definedName>
    <definedName name="ileafHeader" localSheetId="21">'34-35'!$7:$9</definedName>
    <definedName name="ileafHeader" localSheetId="22">'42-42'!$7:$9</definedName>
    <definedName name="ileafHeader" localSheetId="23">'42-43'!$7:$9</definedName>
    <definedName name="ileafHeader" localSheetId="24">'42-44'!$7:$9</definedName>
    <definedName name="ileafHeader" localSheetId="25">'42-45'!$7:$9</definedName>
    <definedName name="ileafHeader" localSheetId="26">'42-46'!$7:$9</definedName>
    <definedName name="ileafHeader" localSheetId="27">'42-47'!$7:$9</definedName>
    <definedName name="ileafHeader" localSheetId="28">'46-21'!$7:$9</definedName>
    <definedName name="ileafHeader" localSheetId="99">'46-21-4280'!$7:$9</definedName>
    <definedName name="ileafHeader" localSheetId="29">'46-22'!$7:$9</definedName>
    <definedName name="ileafHeader" localSheetId="31">'46-23'!$7:$9</definedName>
    <definedName name="ileafHeader" localSheetId="30">'46-23-4290'!$7:$9</definedName>
    <definedName name="ileafHeader" localSheetId="32">'46-25'!$7:$9</definedName>
    <definedName name="ileafHeader" localSheetId="33">'54-24-7540'!$7:$9</definedName>
    <definedName name="ileafHeader" localSheetId="34">'54-26'!$7:$9</definedName>
    <definedName name="ileafHeader" localSheetId="35">'54-27-7545'!$7:$9</definedName>
    <definedName name="ileafHeader" localSheetId="37">'54-32'!$7:$9</definedName>
    <definedName name="ileafHeader" localSheetId="36">'54-32-7601'!$7:$9</definedName>
    <definedName name="ileafHeader" localSheetId="38">'54-33-7560'!$7:$9</definedName>
    <definedName name="ileafHeader" localSheetId="39">'54-53-7550'!$7:$9</definedName>
    <definedName name="ileafHeader" localSheetId="40">'54-55-7580'!$7:$9</definedName>
    <definedName name="ileafHeader" localSheetId="41">'54-76-7500'!$7:$9</definedName>
    <definedName name="ileafHeader" localSheetId="42">'62-51'!$7:$9</definedName>
    <definedName name="ileafHeader" localSheetId="43">'62-53'!$7:$9</definedName>
    <definedName name="ileafHeader" localSheetId="44">'62-54'!$7:$9</definedName>
    <definedName name="ileafHeader" localSheetId="45">'62-74'!$7:$9</definedName>
    <definedName name="ileafHeader" localSheetId="46">'66-12'!$7:$9</definedName>
    <definedName name="ileafHeader" localSheetId="47">'66-13'!$7:$9</definedName>
    <definedName name="ileafHeader" localSheetId="48">'66-18'!$7:$9</definedName>
    <definedName name="ileafHeader" localSheetId="49">'66-19'!$7:$9</definedName>
    <definedName name="ileafHeader" localSheetId="50">'66-74'!$7:$9</definedName>
    <definedName name="ileafHeader" localSheetId="51">'66-82'!$7:$9</definedName>
    <definedName name="ileafHeader" localSheetId="52">'67-14'!$7:$9</definedName>
    <definedName name="ileafHeader" localSheetId="53">'67-83-3610'!$7:$9</definedName>
    <definedName name="ileafHeader" localSheetId="54">'67-83-3630'!$7:$9</definedName>
    <definedName name="ileafHeader" localSheetId="55">'67-83-3640'!$7:$9</definedName>
    <definedName name="ileafHeader" localSheetId="56">'67-83-3650'!$7:$9</definedName>
    <definedName name="ileafHeader" localSheetId="73">'74-36'!$7:$9</definedName>
    <definedName name="ileafHeader" localSheetId="57">'74-36-2405'!$7:$9</definedName>
    <definedName name="ileafHeader" localSheetId="58">'74-36-2410'!$7:$9</definedName>
    <definedName name="ileafHeader" localSheetId="59">'74-36-2415'!$7:$9</definedName>
    <definedName name="ileafHeader" localSheetId="60">'74-36-2416'!$7:$9</definedName>
    <definedName name="ileafHeader" localSheetId="61">'74-36-2417'!$7:$9</definedName>
    <definedName name="ileafHeader" localSheetId="62">'74-36-2430'!$7:$9</definedName>
    <definedName name="ileafHeader" localSheetId="63">'74-36-2440'!$7:$9</definedName>
    <definedName name="ileafHeader" localSheetId="64">'74-36-2445'!$7:$9</definedName>
    <definedName name="ileafHeader" localSheetId="65">'74-36-2450'!$7:$9</definedName>
    <definedName name="ileafHeader" localSheetId="66">'74-36-2455'!$7:$9</definedName>
    <definedName name="ileafHeader" localSheetId="67">'74-36-2460'!$7:$9</definedName>
    <definedName name="ileafHeader" localSheetId="68">'74-36-2465'!$7:$9</definedName>
    <definedName name="ileafHeader" localSheetId="69">'74-36-2470'!$7:$9</definedName>
    <definedName name="ileafHeader" localSheetId="70">'74-36-2475'!$7:$9</definedName>
    <definedName name="ileafHeader" localSheetId="71">'74-36-2480'!$7:$9</definedName>
    <definedName name="ileafHeader" localSheetId="72">'74-36-2485'!$7:$9</definedName>
    <definedName name="ileafHeader" localSheetId="75">'74-37'!$7:$9</definedName>
    <definedName name="ileafHeader" localSheetId="74">'74-37-2541'!$7:$9</definedName>
    <definedName name="ileafHeader" localSheetId="76">'74-74'!$7:$9</definedName>
    <definedName name="ileafHeader" localSheetId="77">'78-11'!$7:$9</definedName>
    <definedName name="ileafHeader" localSheetId="78">'78-61'!$7:$9</definedName>
    <definedName name="ileafHeader" localSheetId="79">'78-62'!$7:$9</definedName>
    <definedName name="ileafHeader" localSheetId="80">'78-64'!$7:$9</definedName>
    <definedName name="ileafHeader" localSheetId="81">'82-52'!$7:$9</definedName>
    <definedName name="ileafHeader" localSheetId="83">'82-72'!$7:$9</definedName>
    <definedName name="ileafHeader" localSheetId="82">'82-72-2066'!$7:$9</definedName>
    <definedName name="ileafHeader" localSheetId="84">'82-73'!$7:$9</definedName>
    <definedName name="ileafHeader" localSheetId="87">'82-74'!$7:$9</definedName>
    <definedName name="ileafHeader" localSheetId="100">'82-74-2020'!$7:$9</definedName>
    <definedName name="ileafHeader" localSheetId="85">'82-74-2026'!$7:$9</definedName>
    <definedName name="ileafHeader" localSheetId="86">'82-74-2034'!$7:$9</definedName>
    <definedName name="ileafHeader" localSheetId="101">'82-74-2052'!$7:$9</definedName>
    <definedName name="ileafHeader" localSheetId="102">'82-74-2056'!$7:$9</definedName>
    <definedName name="ileafHeader" localSheetId="103">'82-74-2057'!$7:$9</definedName>
    <definedName name="ileafHeader" localSheetId="104">'82-74-2065'!$7:$9</definedName>
    <definedName name="ileafHeader" localSheetId="88">'82-75'!$7:$9</definedName>
    <definedName name="ileafHeader" localSheetId="89">'82-76'!$7:$9</definedName>
    <definedName name="ileafHeader" localSheetId="93">'82-82'!$7:$9</definedName>
    <definedName name="ileafHeader" localSheetId="90">'82-82-2096'!$7:$9</definedName>
    <definedName name="ileafHeader" localSheetId="91">'82-82-2097'!$7:$9</definedName>
    <definedName name="ileafHeader" localSheetId="92">'82-82-2098'!$7:$9</definedName>
    <definedName name="ileafHeader" localSheetId="94">'90-72-9148'!$7:$9</definedName>
    <definedName name="ileafHeader" localSheetId="95">'94-74-9410'!$7:$9</definedName>
    <definedName name="ileafHeader" localSheetId="96">'98-15'!$7:$9</definedName>
    <definedName name="ileafHeader">#REF!</definedName>
    <definedName name="nofColumns" localSheetId="1">'01-71-0001'!$B$6</definedName>
    <definedName name="nofColumns" localSheetId="2">'01-71-0002'!$B$6</definedName>
    <definedName name="nofColumns" localSheetId="3">'01-71-0003'!$B$6</definedName>
    <definedName name="nofColumns" localSheetId="4">'01-77'!$B$6</definedName>
    <definedName name="nofColumns" localSheetId="5">'06-76'!$B$6</definedName>
    <definedName name="nofColumns" localSheetId="6">'10-49'!$B$6</definedName>
    <definedName name="nofColumns" localSheetId="7">'14-52'!$B$6</definedName>
    <definedName name="nofColumns" localSheetId="8">'16-55'!$B$6</definedName>
    <definedName name="nofColumns" localSheetId="9">'22-41'!$B$6</definedName>
    <definedName name="nofColumns" localSheetId="10">'22-55'!$B$6</definedName>
    <definedName name="nofColumns" localSheetId="11">'22-75'!$B$6</definedName>
    <definedName name="nofColumns" localSheetId="12">'22-76'!$B$6</definedName>
    <definedName name="nofColumns" localSheetId="14">'26-16'!$B$6</definedName>
    <definedName name="nofColumns" localSheetId="97">'26-16-7020'!$B$6</definedName>
    <definedName name="nofColumns" localSheetId="13">'26-16-7025'!$B$6</definedName>
    <definedName name="nofColumns" localSheetId="98">'26-16-7030'!$B$6</definedName>
    <definedName name="nofColumns" localSheetId="15">'26-17'!$B$6</definedName>
    <definedName name="nofColumns" localSheetId="16">'26-19'!$B$6</definedName>
    <definedName name="nofColumns" localSheetId="17">'34-31'!$B$6</definedName>
    <definedName name="nofColumns" localSheetId="18">'34-32'!$B$6</definedName>
    <definedName name="nofColumns" localSheetId="19">'34-33'!$B$6</definedName>
    <definedName name="nofColumns" localSheetId="20">'34-34'!$B$6</definedName>
    <definedName name="nofColumns" localSheetId="21">'34-35'!$B$6</definedName>
    <definedName name="nofColumns" localSheetId="22">'42-42'!$B$6</definedName>
    <definedName name="nofColumns" localSheetId="23">'42-43'!$B$6</definedName>
    <definedName name="nofColumns" localSheetId="24">'42-44'!$B$6</definedName>
    <definedName name="nofColumns" localSheetId="25">'42-45'!$B$6</definedName>
    <definedName name="nofColumns" localSheetId="26">'42-46'!$B$6</definedName>
    <definedName name="nofColumns" localSheetId="27">'42-47'!$B$6</definedName>
    <definedName name="nofColumns" localSheetId="28">'46-21'!$B$6</definedName>
    <definedName name="nofColumns" localSheetId="99">'46-21-4280'!$B$6</definedName>
    <definedName name="nofColumns" localSheetId="29">'46-22'!$B$6</definedName>
    <definedName name="nofColumns" localSheetId="31">'46-23'!$B$6</definedName>
    <definedName name="nofColumns" localSheetId="30">'46-23-4290'!$B$6</definedName>
    <definedName name="nofColumns" localSheetId="32">'46-25'!$B$6</definedName>
    <definedName name="nofColumns" localSheetId="33">'54-24-7540'!$B$6</definedName>
    <definedName name="nofColumns" localSheetId="34">'54-26'!$B$6</definedName>
    <definedName name="nofColumns" localSheetId="35">'54-27-7545'!$B$6</definedName>
    <definedName name="nofColumns" localSheetId="37">'54-32'!$B$6</definedName>
    <definedName name="nofColumns" localSheetId="36">'54-32-7601'!$B$6</definedName>
    <definedName name="nofColumns" localSheetId="38">'54-33-7560'!$B$6</definedName>
    <definedName name="nofColumns" localSheetId="39">'54-53-7550'!$B$6</definedName>
    <definedName name="nofColumns" localSheetId="40">'54-55-7580'!$B$6</definedName>
    <definedName name="nofColumns" localSheetId="41">'54-76-7500'!$B$6</definedName>
    <definedName name="nofColumns" localSheetId="42">'62-51'!$B$6</definedName>
    <definedName name="nofColumns" localSheetId="43">'62-53'!$B$6</definedName>
    <definedName name="nofColumns" localSheetId="44">'62-54'!$B$6</definedName>
    <definedName name="nofColumns" localSheetId="45">'62-74'!$B$6</definedName>
    <definedName name="nofColumns" localSheetId="46">'66-12'!$B$6</definedName>
    <definedName name="nofColumns" localSheetId="47">'66-13'!$B$6</definedName>
    <definedName name="nofColumns" localSheetId="48">'66-18'!$B$6</definedName>
    <definedName name="nofColumns" localSheetId="49">'66-19'!$B$6</definedName>
    <definedName name="nofColumns" localSheetId="50">'66-74'!$B$6</definedName>
    <definedName name="nofColumns" localSheetId="51">'66-82'!$B$6</definedName>
    <definedName name="nofColumns" localSheetId="52">'67-14'!$B$6</definedName>
    <definedName name="nofColumns" localSheetId="53">'67-83-3610'!$B$6</definedName>
    <definedName name="nofColumns" localSheetId="54">'67-83-3630'!$B$6</definedName>
    <definedName name="nofColumns" localSheetId="55">'67-83-3640'!$B$6</definedName>
    <definedName name="nofColumns" localSheetId="56">'67-83-3650'!$B$6</definedName>
    <definedName name="nofColumns" localSheetId="73">'74-36'!$B$6</definedName>
    <definedName name="nofColumns" localSheetId="57">'74-36-2405'!$B$6</definedName>
    <definedName name="nofColumns" localSheetId="58">'74-36-2410'!$B$6</definedName>
    <definedName name="nofColumns" localSheetId="59">'74-36-2415'!$B$6</definedName>
    <definedName name="nofColumns" localSheetId="60">'74-36-2416'!$B$6</definedName>
    <definedName name="nofColumns" localSheetId="61">'74-36-2417'!$B$6</definedName>
    <definedName name="nofColumns" localSheetId="62">'74-36-2430'!$B$6</definedName>
    <definedName name="nofColumns" localSheetId="63">'74-36-2440'!$B$6</definedName>
    <definedName name="nofColumns" localSheetId="64">'74-36-2445'!$B$6</definedName>
    <definedName name="nofColumns" localSheetId="65">'74-36-2450'!$B$6</definedName>
    <definedName name="nofColumns" localSheetId="66">'74-36-2455'!$B$6</definedName>
    <definedName name="nofColumns" localSheetId="67">'74-36-2460'!$B$6</definedName>
    <definedName name="nofColumns" localSheetId="68">'74-36-2465'!$B$6</definedName>
    <definedName name="nofColumns" localSheetId="69">'74-36-2470'!$B$6</definedName>
    <definedName name="nofColumns" localSheetId="70">'74-36-2475'!$B$6</definedName>
    <definedName name="nofColumns" localSheetId="71">'74-36-2480'!$B$6</definedName>
    <definedName name="nofColumns" localSheetId="72">'74-36-2485'!$B$6</definedName>
    <definedName name="nofColumns" localSheetId="75">'74-37'!$B$6</definedName>
    <definedName name="nofColumns" localSheetId="74">'74-37-2541'!$B$6</definedName>
    <definedName name="nofColumns" localSheetId="76">'74-74'!$B$6</definedName>
    <definedName name="nofColumns" localSheetId="77">'78-11'!$B$6</definedName>
    <definedName name="nofColumns" localSheetId="78">'78-61'!$B$6</definedName>
    <definedName name="nofColumns" localSheetId="79">'78-62'!$B$6</definedName>
    <definedName name="nofColumns" localSheetId="80">'78-64'!$B$6</definedName>
    <definedName name="nofColumns" localSheetId="81">'82-52'!$B$6</definedName>
    <definedName name="nofColumns" localSheetId="83">'82-72'!$B$6</definedName>
    <definedName name="nofColumns" localSheetId="82">'82-72-2066'!$B$6</definedName>
    <definedName name="nofColumns" localSheetId="84">'82-73'!$B$6</definedName>
    <definedName name="nofColumns" localSheetId="87">'82-74'!$B$6</definedName>
    <definedName name="nofColumns" localSheetId="100">'82-74-2020'!$B$6</definedName>
    <definedName name="nofColumns" localSheetId="85">'82-74-2026'!$B$6</definedName>
    <definedName name="nofColumns" localSheetId="86">'82-74-2034'!$B$6</definedName>
    <definedName name="nofColumns" localSheetId="101">'82-74-2052'!$B$6</definedName>
    <definedName name="nofColumns" localSheetId="102">'82-74-2056'!$B$6</definedName>
    <definedName name="nofColumns" localSheetId="103">'82-74-2057'!$B$6</definedName>
    <definedName name="nofColumns" localSheetId="104">'82-74-2065'!$B$6</definedName>
    <definedName name="nofColumns" localSheetId="88">'82-75'!$B$6</definedName>
    <definedName name="nofColumns" localSheetId="89">'82-76'!$B$6</definedName>
    <definedName name="nofColumns" localSheetId="93">'82-82'!$B$6</definedName>
    <definedName name="nofColumns" localSheetId="90">'82-82-2096'!$B$6</definedName>
    <definedName name="nofColumns" localSheetId="91">'82-82-2097'!$B$6</definedName>
    <definedName name="nofColumns" localSheetId="92">'82-82-2098'!$B$6</definedName>
    <definedName name="nofColumns" localSheetId="94">'90-72-9148'!$B$6</definedName>
    <definedName name="nofColumns" localSheetId="95">'94-74-9410'!$B$6</definedName>
    <definedName name="nofColumns" localSheetId="96">'98-15'!$B$6</definedName>
    <definedName name="nofColumns">#REF!</definedName>
    <definedName name="Notes" localSheetId="1">'01-71-0001'!$A$19</definedName>
    <definedName name="Notes" localSheetId="2">'01-71-0002'!$A$19</definedName>
    <definedName name="Notes" localSheetId="3">'01-71-0003'!$A$19</definedName>
    <definedName name="Notes" localSheetId="4">'01-77'!$A$20</definedName>
    <definedName name="Notes" localSheetId="5">'06-76'!$A$19</definedName>
    <definedName name="Notes" localSheetId="6">'10-49'!$A$69</definedName>
    <definedName name="Notes" localSheetId="7">'14-52'!$A$105</definedName>
    <definedName name="Notes" localSheetId="8">'16-55'!$A$150</definedName>
    <definedName name="Notes" localSheetId="9">'22-41'!$A$74</definedName>
    <definedName name="Notes" localSheetId="10">'22-55'!$A$36</definedName>
    <definedName name="Notes" localSheetId="11">'22-75'!$A$52</definedName>
    <definedName name="Notes" localSheetId="12">'22-76'!$A$36</definedName>
    <definedName name="Notes" localSheetId="14">'26-16'!$A$267</definedName>
    <definedName name="Notes" localSheetId="97">'26-16-7020'!$A$24</definedName>
    <definedName name="Notes" localSheetId="13">'26-16-7025'!$A$28</definedName>
    <definedName name="Notes" localSheetId="98">'26-16-7030'!$A$29</definedName>
    <definedName name="Notes" localSheetId="15">'26-17'!$A$69</definedName>
    <definedName name="Notes" localSheetId="16">'26-19'!$A$29</definedName>
    <definedName name="Notes" localSheetId="17">'34-31'!$A$60</definedName>
    <definedName name="Notes" localSheetId="18">'34-32'!$A$37</definedName>
    <definedName name="Notes" localSheetId="19">'34-33'!$A$27</definedName>
    <definedName name="Notes" localSheetId="20">'34-34'!$A$65</definedName>
    <definedName name="Notes" localSheetId="21">'34-35'!$A$40</definedName>
    <definedName name="Notes" localSheetId="22">'42-42'!$A$55</definedName>
    <definedName name="Notes" localSheetId="23">'42-43'!$A$43</definedName>
    <definedName name="Notes" localSheetId="24">'42-44'!$A$50</definedName>
    <definedName name="Notes" localSheetId="25">'42-45'!$A$61</definedName>
    <definedName name="Notes" localSheetId="26">'42-46'!$A$35</definedName>
    <definedName name="Notes" localSheetId="27">'42-47'!$A$43</definedName>
    <definedName name="Notes" localSheetId="28">'46-21'!$A$135</definedName>
    <definedName name="Notes" localSheetId="99">'46-21-4280'!$A$14</definedName>
    <definedName name="Notes" localSheetId="29">'46-22'!$A$72</definedName>
    <definedName name="Notes" localSheetId="31">'46-23'!$A$117</definedName>
    <definedName name="Notes" localSheetId="30">'46-23-4290'!$A$120</definedName>
    <definedName name="Notes" localSheetId="32">'46-25'!$A$29</definedName>
    <definedName name="Notes" localSheetId="33">'54-24-7540'!$A$141</definedName>
    <definedName name="Notes" localSheetId="34">'54-26'!$A$105</definedName>
    <definedName name="Notes" localSheetId="35">'54-27-7545'!$A$27</definedName>
    <definedName name="Notes" localSheetId="37">'54-32'!$A$121</definedName>
    <definedName name="Notes" localSheetId="36">'54-32-7601'!$A$70</definedName>
    <definedName name="Notes" localSheetId="38">'54-33-7560'!$A$57</definedName>
    <definedName name="Notes" localSheetId="39">'54-53-7550'!$A$112</definedName>
    <definedName name="Notes" localSheetId="40">'54-55-7580'!$A$35</definedName>
    <definedName name="Notes" localSheetId="41">'54-76-7500'!$A$30</definedName>
    <definedName name="Notes" localSheetId="42">'62-51'!$A$29</definedName>
    <definedName name="Notes" localSheetId="43">'62-53'!$A$74</definedName>
    <definedName name="Notes" localSheetId="44">'62-54'!$A$122</definedName>
    <definedName name="Notes" localSheetId="45">'62-74'!$A$88</definedName>
    <definedName name="Notes" localSheetId="46">'66-12'!$A$144</definedName>
    <definedName name="Notes" localSheetId="47">'66-13'!$A$79</definedName>
    <definedName name="Notes" localSheetId="48">'66-18'!$A$56</definedName>
    <definedName name="Notes" localSheetId="49">'66-19'!$A$30</definedName>
    <definedName name="Notes" localSheetId="50">'66-74'!$A$38</definedName>
    <definedName name="Notes" localSheetId="51">'66-82'!$A$99</definedName>
    <definedName name="Notes" localSheetId="52">'67-14'!$A$52</definedName>
    <definedName name="Notes" localSheetId="53">'67-83-3610'!$A$46</definedName>
    <definedName name="Notes" localSheetId="54">'67-83-3630'!$A$28</definedName>
    <definedName name="Notes" localSheetId="55">'67-83-3640'!$A$28</definedName>
    <definedName name="Notes" localSheetId="56">'67-83-3650'!$A$28</definedName>
    <definedName name="Notes" localSheetId="73">'74-36'!$A$77</definedName>
    <definedName name="Notes" localSheetId="57">'74-36-2405'!$A$101</definedName>
    <definedName name="Notes" localSheetId="58">'74-36-2410'!$A$80</definedName>
    <definedName name="Notes" localSheetId="59">'74-36-2415'!$A$25</definedName>
    <definedName name="Notes" localSheetId="60">'74-36-2416'!$A$68</definedName>
    <definedName name="Notes" localSheetId="61">'74-36-2417'!$A$66</definedName>
    <definedName name="Notes" localSheetId="62">'74-36-2430'!$A$67</definedName>
    <definedName name="Notes" localSheetId="63">'74-36-2440'!$A$30</definedName>
    <definedName name="Notes" localSheetId="64">'74-36-2445'!$A$70</definedName>
    <definedName name="Notes" localSheetId="65">'74-36-2450'!$A$81</definedName>
    <definedName name="Notes" localSheetId="66">'74-36-2455'!$A$71</definedName>
    <definedName name="Notes" localSheetId="67">'74-36-2460'!$A$69</definedName>
    <definedName name="Notes" localSheetId="68">'74-36-2465'!$A$68</definedName>
    <definedName name="Notes" localSheetId="69">'74-36-2470'!$A$70</definedName>
    <definedName name="Notes" localSheetId="70">'74-36-2475'!$A$70</definedName>
    <definedName name="Notes" localSheetId="71">'74-36-2480'!$A$75</definedName>
    <definedName name="Notes" localSheetId="72">'74-36-2485'!$A$26</definedName>
    <definedName name="Notes" localSheetId="75">'74-37'!$A$38</definedName>
    <definedName name="Notes" localSheetId="74">'74-37-2541'!$A$44</definedName>
    <definedName name="Notes" localSheetId="76">'74-74'!$A$60</definedName>
    <definedName name="Notes" localSheetId="77">'78-11'!$A$89</definedName>
    <definedName name="Notes" localSheetId="78">'78-61'!$A$61</definedName>
    <definedName name="Notes" localSheetId="79">'78-62'!$A$70</definedName>
    <definedName name="Notes" localSheetId="80">'78-64'!$A$31</definedName>
    <definedName name="Notes" localSheetId="81">'82-52'!$A$97</definedName>
    <definedName name="Notes" localSheetId="83">'82-72'!$A$26</definedName>
    <definedName name="Notes" localSheetId="82">'82-72-2066'!$A$21</definedName>
    <definedName name="Notes" localSheetId="84">'82-73'!$A$156</definedName>
    <definedName name="Notes" localSheetId="87">'82-74'!$A$74</definedName>
    <definedName name="Notes" localSheetId="100">'82-74-2020'!$A$14</definedName>
    <definedName name="Notes" localSheetId="85">'82-74-2026'!$A$38</definedName>
    <definedName name="Notes" localSheetId="86">'82-74-2034'!$A$81</definedName>
    <definedName name="Notes" localSheetId="101">'82-74-2052'!$A$27</definedName>
    <definedName name="Notes" localSheetId="102">'82-74-2056'!$A$15</definedName>
    <definedName name="Notes" localSheetId="103">'82-74-2057'!$A$21</definedName>
    <definedName name="Notes" localSheetId="104">'82-74-2065'!$A$14</definedName>
    <definedName name="Notes" localSheetId="88">'82-75'!$A$46</definedName>
    <definedName name="Notes" localSheetId="89">'82-76'!$A$29</definedName>
    <definedName name="Notes" localSheetId="93">'82-82'!$A$108</definedName>
    <definedName name="Notes" localSheetId="90">'82-82-2096'!$A$35</definedName>
    <definedName name="Notes" localSheetId="91">'82-82-2097'!$A$41</definedName>
    <definedName name="Notes" localSheetId="92">'82-82-2098'!$A$45</definedName>
    <definedName name="Notes" localSheetId="94">'90-72-9148'!$A$19</definedName>
    <definedName name="Notes" localSheetId="95">'94-74-9410'!$A$74</definedName>
    <definedName name="Notes" localSheetId="96">'98-15'!$A$199</definedName>
    <definedName name="Notes">#REF!</definedName>
    <definedName name="Outyear1" localSheetId="1">'01-71-0001'!$M$9</definedName>
    <definedName name="Outyear1" localSheetId="2">'01-71-0002'!$M$9</definedName>
    <definedName name="Outyear1" localSheetId="3">'01-71-0003'!$M$9</definedName>
    <definedName name="Outyear1" localSheetId="4">'01-77'!$M$9</definedName>
    <definedName name="Outyear1" localSheetId="5">'06-76'!$M$9</definedName>
    <definedName name="Outyear1" localSheetId="6">'10-49'!$M$9</definedName>
    <definedName name="Outyear1" localSheetId="7">'14-52'!$M$9</definedName>
    <definedName name="Outyear1" localSheetId="8">'16-55'!$M$9</definedName>
    <definedName name="Outyear1" localSheetId="9">'22-41'!$M$9</definedName>
    <definedName name="Outyear1" localSheetId="10">'22-55'!$M$9</definedName>
    <definedName name="Outyear1" localSheetId="11">'22-75'!$M$9</definedName>
    <definedName name="Outyear1" localSheetId="12">'22-76'!$M$9</definedName>
    <definedName name="Outyear1" localSheetId="14">'26-16'!$M$9</definedName>
    <definedName name="Outyear1" localSheetId="97">'26-16-7020'!$M$9</definedName>
    <definedName name="Outyear1" localSheetId="13">'26-16-7025'!$M$9</definedName>
    <definedName name="Outyear1" localSheetId="98">'26-16-7030'!$M$9</definedName>
    <definedName name="Outyear1" localSheetId="15">'26-17'!$M$9</definedName>
    <definedName name="Outyear1" localSheetId="16">'26-19'!$M$9</definedName>
    <definedName name="Outyear1" localSheetId="17">'34-31'!$M$9</definedName>
    <definedName name="Outyear1" localSheetId="18">'34-32'!$M$9</definedName>
    <definedName name="Outyear1" localSheetId="19">'34-33'!$M$9</definedName>
    <definedName name="Outyear1" localSheetId="20">'34-34'!$M$9</definedName>
    <definedName name="Outyear1" localSheetId="21">'34-35'!$M$9</definedName>
    <definedName name="Outyear1" localSheetId="22">'42-42'!$M$9</definedName>
    <definedName name="Outyear1" localSheetId="23">'42-43'!$M$9</definedName>
    <definedName name="Outyear1" localSheetId="24">'42-44'!$M$9</definedName>
    <definedName name="Outyear1" localSheetId="25">'42-45'!$M$9</definedName>
    <definedName name="Outyear1" localSheetId="26">'42-46'!$M$9</definedName>
    <definedName name="Outyear1" localSheetId="27">'42-47'!$M$9</definedName>
    <definedName name="Outyear1" localSheetId="28">'46-21'!$M$9</definedName>
    <definedName name="Outyear1" localSheetId="99">'46-21-4280'!$M$9</definedName>
    <definedName name="Outyear1" localSheetId="29">'46-22'!$M$9</definedName>
    <definedName name="Outyear1" localSheetId="31">'46-23'!$M$9</definedName>
    <definedName name="Outyear1" localSheetId="30">'46-23-4290'!$M$9</definedName>
    <definedName name="Outyear1" localSheetId="32">'46-25'!$M$9</definedName>
    <definedName name="Outyear1" localSheetId="33">'54-24-7540'!$M$9</definedName>
    <definedName name="Outyear1" localSheetId="34">'54-26'!$M$9</definedName>
    <definedName name="Outyear1" localSheetId="35">'54-27-7545'!$M$9</definedName>
    <definedName name="Outyear1" localSheetId="37">'54-32'!$M$9</definedName>
    <definedName name="Outyear1" localSheetId="36">'54-32-7601'!$M$9</definedName>
    <definedName name="Outyear1" localSheetId="38">'54-33-7560'!$M$9</definedName>
    <definedName name="Outyear1" localSheetId="39">'54-53-7550'!$M$9</definedName>
    <definedName name="Outyear1" localSheetId="40">'54-55-7580'!$M$9</definedName>
    <definedName name="Outyear1" localSheetId="41">'54-76-7500'!$M$9</definedName>
    <definedName name="Outyear1" localSheetId="42">'62-51'!$M$9</definedName>
    <definedName name="Outyear1" localSheetId="43">'62-53'!$M$9</definedName>
    <definedName name="Outyear1" localSheetId="44">'62-54'!$M$9</definedName>
    <definedName name="Outyear1" localSheetId="45">'62-74'!$M$9</definedName>
    <definedName name="Outyear1" localSheetId="46">'66-12'!$M$9</definedName>
    <definedName name="Outyear1" localSheetId="47">'66-13'!$M$9</definedName>
    <definedName name="Outyear1" localSheetId="48">'66-18'!$M$9</definedName>
    <definedName name="Outyear1" localSheetId="49">'66-19'!$M$9</definedName>
    <definedName name="Outyear1" localSheetId="50">'66-74'!$M$9</definedName>
    <definedName name="Outyear1" localSheetId="51">'66-82'!$M$9</definedName>
    <definedName name="Outyear1" localSheetId="52">'67-14'!$M$9</definedName>
    <definedName name="Outyear1" localSheetId="53">'67-83-3610'!$M$9</definedName>
    <definedName name="Outyear1" localSheetId="54">'67-83-3630'!$M$9</definedName>
    <definedName name="Outyear1" localSheetId="55">'67-83-3640'!$M$9</definedName>
    <definedName name="Outyear1" localSheetId="56">'67-83-3650'!$M$9</definedName>
    <definedName name="Outyear1" localSheetId="73">'74-36'!$M$9</definedName>
    <definedName name="Outyear1" localSheetId="57">'74-36-2405'!$M$9</definedName>
    <definedName name="Outyear1" localSheetId="58">'74-36-2410'!$M$9</definedName>
    <definedName name="Outyear1" localSheetId="59">'74-36-2415'!$M$9</definedName>
    <definedName name="Outyear1" localSheetId="60">'74-36-2416'!$M$9</definedName>
    <definedName name="Outyear1" localSheetId="61">'74-36-2417'!$M$9</definedName>
    <definedName name="Outyear1" localSheetId="62">'74-36-2430'!$M$9</definedName>
    <definedName name="Outyear1" localSheetId="63">'74-36-2440'!$M$9</definedName>
    <definedName name="Outyear1" localSheetId="64">'74-36-2445'!$M$9</definedName>
    <definedName name="Outyear1" localSheetId="65">'74-36-2450'!$M$9</definedName>
    <definedName name="Outyear1" localSheetId="66">'74-36-2455'!$M$9</definedName>
    <definedName name="Outyear1" localSheetId="67">'74-36-2460'!$M$9</definedName>
    <definedName name="Outyear1" localSheetId="68">'74-36-2465'!$M$9</definedName>
    <definedName name="Outyear1" localSheetId="69">'74-36-2470'!$M$9</definedName>
    <definedName name="Outyear1" localSheetId="70">'74-36-2475'!$M$9</definedName>
    <definedName name="Outyear1" localSheetId="71">'74-36-2480'!$M$9</definedName>
    <definedName name="Outyear1" localSheetId="72">'74-36-2485'!$M$9</definedName>
    <definedName name="Outyear1" localSheetId="75">'74-37'!$M$9</definedName>
    <definedName name="Outyear1" localSheetId="74">'74-37-2541'!$M$9</definedName>
    <definedName name="Outyear1" localSheetId="76">'74-74'!$M$9</definedName>
    <definedName name="Outyear1" localSheetId="77">'78-11'!$M$9</definedName>
    <definedName name="Outyear1" localSheetId="78">'78-61'!$M$9</definedName>
    <definedName name="Outyear1" localSheetId="79">'78-62'!$M$9</definedName>
    <definedName name="Outyear1" localSheetId="80">'78-64'!$M$9</definedName>
    <definedName name="Outyear1" localSheetId="81">'82-52'!$M$9</definedName>
    <definedName name="Outyear1" localSheetId="83">'82-72'!$M$9</definedName>
    <definedName name="Outyear1" localSheetId="82">'82-72-2066'!$M$9</definedName>
    <definedName name="Outyear1" localSheetId="84">'82-73'!$M$9</definedName>
    <definedName name="Outyear1" localSheetId="87">'82-74'!$M$9</definedName>
    <definedName name="Outyear1" localSheetId="100">'82-74-2020'!$M$9</definedName>
    <definedName name="Outyear1" localSheetId="85">'82-74-2026'!$M$9</definedName>
    <definedName name="Outyear1" localSheetId="86">'82-74-2034'!$M$9</definedName>
    <definedName name="Outyear1" localSheetId="101">'82-74-2052'!$M$9</definedName>
    <definedName name="Outyear1" localSheetId="102">'82-74-2056'!$M$9</definedName>
    <definedName name="Outyear1" localSheetId="103">'82-74-2057'!$M$9</definedName>
    <definedName name="Outyear1" localSheetId="104">'82-74-2065'!$M$9</definedName>
    <definedName name="Outyear1" localSheetId="88">'82-75'!$M$9</definedName>
    <definedName name="Outyear1" localSheetId="89">'82-76'!$M$9</definedName>
    <definedName name="Outyear1" localSheetId="93">'82-82'!$M$9</definedName>
    <definedName name="Outyear1" localSheetId="90">'82-82-2096'!$M$9</definedName>
    <definedName name="Outyear1" localSheetId="91">'82-82-2097'!$M$9</definedName>
    <definedName name="Outyear1" localSheetId="92">'82-82-2098'!$M$9</definedName>
    <definedName name="Outyear1" localSheetId="94">'90-72-9148'!$M$9</definedName>
    <definedName name="Outyear1" localSheetId="95">'94-74-9410'!$M$9</definedName>
    <definedName name="Outyear1" localSheetId="96">'98-15'!$M$9</definedName>
    <definedName name="_xlnm.Print_Area" localSheetId="7">'14-52'!$A$1:$N$112</definedName>
    <definedName name="_xlnm.Print_Area" localSheetId="8">'16-55'!$A$1:$N$154</definedName>
    <definedName name="_xlnm.Print_Area" localSheetId="11">'22-75'!$A$1:$O$53</definedName>
    <definedName name="_xlnm.Print_Area" localSheetId="14">'26-16'!$A$1:$N$272</definedName>
    <definedName name="_xlnm.Print_Area" localSheetId="15">'26-17'!$A$1:$L$73</definedName>
    <definedName name="_xlnm.Print_Area" localSheetId="22">'42-42'!$A$1:$N$58</definedName>
    <definedName name="_xlnm.Print_Area" localSheetId="24">'42-44'!$A$1:$N$52</definedName>
    <definedName name="_xlnm.Print_Area" localSheetId="28">'46-21'!$A$10:$N$138</definedName>
    <definedName name="_xlnm.Print_Area" localSheetId="29">'46-22'!$A$1:$N$77</definedName>
    <definedName name="_xlnm.Print_Area" localSheetId="33">'54-24-7540'!$A$7:$N$148</definedName>
    <definedName name="_xlnm.Print_Area" localSheetId="34">'54-26'!$A$10:$V$109</definedName>
    <definedName name="_xlnm.Print_Area" localSheetId="36">'54-32-7601'!$A$1:$L$75</definedName>
    <definedName name="_xlnm.Print_Area" localSheetId="43">'62-53'!$A$1:$N$77</definedName>
    <definedName name="_xlnm.Print_Area" localSheetId="44">'62-54'!$A$1:$N$123</definedName>
    <definedName name="_xlnm.Print_Area" localSheetId="73">'74-36'!$A$1:$N$82</definedName>
    <definedName name="_xlnm.Print_Area" localSheetId="57">'74-36-2405'!$A$1:$N$108</definedName>
    <definedName name="_xlnm.Print_Area" localSheetId="58">'74-36-2410'!$A$1:$N$86</definedName>
    <definedName name="_xlnm.Print_Area" localSheetId="59">'74-36-2415'!$A$1:$N$25</definedName>
    <definedName name="_xlnm.Print_Area" localSheetId="60">'74-36-2416'!$A$1:$N$73</definedName>
    <definedName name="_xlnm.Print_Area" localSheetId="61">'74-36-2417'!$A$1:$N$71</definedName>
    <definedName name="_xlnm.Print_Area" localSheetId="62">'74-36-2430'!$A$1:$N$73</definedName>
    <definedName name="_xlnm.Print_Area" localSheetId="63">'74-36-2440'!$A$1:$N$31</definedName>
    <definedName name="_xlnm.Print_Area" localSheetId="65">'74-36-2450'!$A$1:$N$85</definedName>
    <definedName name="_xlnm.Print_Area" localSheetId="67">'74-36-2460'!$A$1:$N$73</definedName>
    <definedName name="_xlnm.Print_Area" localSheetId="68">'74-36-2465'!$A$1:$L$73</definedName>
    <definedName name="_xlnm.Print_Area" localSheetId="69">'74-36-2470'!$A:$L</definedName>
    <definedName name="_xlnm.Print_Area" localSheetId="75">'74-37'!$A$1:$N$41</definedName>
    <definedName name="_xlnm.Print_Area" localSheetId="74">'74-37-2541'!$A$1:$N$45</definedName>
    <definedName name="_xlnm.Print_Area" localSheetId="76">'74-74'!$A$1:$N$61</definedName>
    <definedName name="_xlnm.Print_Area" localSheetId="83">'82-72'!$A$1:$N$28</definedName>
    <definedName name="_xlnm.Print_Area" localSheetId="82">'82-72-2066'!$A$1:$N$22</definedName>
    <definedName name="_xlnm.Print_Area" localSheetId="84">'82-73'!$A$1:$N$157</definedName>
    <definedName name="_xlnm.Print_Area" localSheetId="101">'82-74-2052'!$A$1:$N$32</definedName>
    <definedName name="_xlnm.Print_Area" localSheetId="93">'82-82'!$A$1:$N$112</definedName>
    <definedName name="_xlnm.Print_Area" localSheetId="95">'94-74-9410'!$A$1:$L$75</definedName>
    <definedName name="_xlnm.Print_Titles" localSheetId="28">'46-21'!$1:$9</definedName>
    <definedName name="_xlnm.Print_Titles" localSheetId="34">'54-26'!$1:$9</definedName>
    <definedName name="_xlnm.Print_Titles" localSheetId="43">'62-53'!$1:$9</definedName>
    <definedName name="_xlnm.Print_Titles" localSheetId="44">'62-54'!$1:$9</definedName>
    <definedName name="_xlnm.Print_Titles" localSheetId="67">'74-36-2460'!$6:$9</definedName>
    <definedName name="_xlnm.Print_Titles" localSheetId="68">'74-36-2465'!$1:$9</definedName>
    <definedName name="_xlnm.Print_Titles" localSheetId="69">'74-36-2470'!$7:$9</definedName>
    <definedName name="_xlnm.Print_Titles" localSheetId="84">'82-73'!$1:$9</definedName>
    <definedName name="_xlnm.Print_Titles" localSheetId="87">'82-74'!$1:$9</definedName>
    <definedName name="_xlnm.Print_Titles" localSheetId="89">'82-76'!$1:$9</definedName>
    <definedName name="RevisedFy_1" localSheetId="1">'01-71-0001'!$I$9</definedName>
    <definedName name="RevisedFy_1" localSheetId="2">'01-71-0002'!$I$9</definedName>
    <definedName name="RevisedFy_1" localSheetId="3">'01-71-0003'!$I$9</definedName>
    <definedName name="RevisedFy_1" localSheetId="4">'01-77'!$I$9</definedName>
    <definedName name="RevisedFy_1" localSheetId="5">'06-76'!$I$9</definedName>
    <definedName name="RevisedFy_1" localSheetId="6">'10-49'!$I$9</definedName>
    <definedName name="RevisedFy_1" localSheetId="7">'14-52'!$I$9</definedName>
    <definedName name="RevisedFy_1" localSheetId="8">'16-55'!$I$9</definedName>
    <definedName name="RevisedFy_1" localSheetId="9">'22-41'!$I$9</definedName>
    <definedName name="RevisedFy_1" localSheetId="10">'22-55'!$I$9</definedName>
    <definedName name="RevisedFy_1" localSheetId="11">'22-75'!$I$9</definedName>
    <definedName name="RevisedFy_1" localSheetId="12">'22-76'!$I$9</definedName>
    <definedName name="RevisedFy_1" localSheetId="14">'26-16'!$I$9</definedName>
    <definedName name="RevisedFy_1" localSheetId="97">'26-16-7020'!$I$9</definedName>
    <definedName name="RevisedFy_1" localSheetId="13">'26-16-7025'!$I$9</definedName>
    <definedName name="RevisedFy_1" localSheetId="98">'26-16-7030'!$I$9</definedName>
    <definedName name="RevisedFy_1" localSheetId="15">'26-17'!$I$9</definedName>
    <definedName name="RevisedFy_1" localSheetId="16">'26-19'!$I$9</definedName>
    <definedName name="RevisedFy_1" localSheetId="17">'34-31'!$I$9</definedName>
    <definedName name="RevisedFy_1" localSheetId="18">'34-32'!$I$9</definedName>
    <definedName name="RevisedFy_1" localSheetId="19">'34-33'!$I$9</definedName>
    <definedName name="RevisedFy_1" localSheetId="20">'34-34'!$I$9</definedName>
    <definedName name="RevisedFy_1" localSheetId="21">'34-35'!$I$9</definedName>
    <definedName name="RevisedFy_1" localSheetId="22">'42-42'!$I$9</definedName>
    <definedName name="RevisedFy_1" localSheetId="23">'42-43'!$I$9</definedName>
    <definedName name="RevisedFy_1" localSheetId="24">'42-44'!$I$9</definedName>
    <definedName name="RevisedFy_1" localSheetId="25">'42-45'!$I$9</definedName>
    <definedName name="RevisedFy_1" localSheetId="26">'42-46'!$I$9</definedName>
    <definedName name="RevisedFy_1" localSheetId="27">'42-47'!$I$9</definedName>
    <definedName name="RevisedFy_1" localSheetId="28">'46-21'!$I$9</definedName>
    <definedName name="RevisedFy_1" localSheetId="99">'46-21-4280'!$I$9</definedName>
    <definedName name="RevisedFy_1" localSheetId="29">'46-22'!$I$9</definedName>
    <definedName name="RevisedFy_1" localSheetId="31">'46-23'!$I$9</definedName>
    <definedName name="RevisedFy_1" localSheetId="30">'46-23-4290'!$I$9</definedName>
    <definedName name="RevisedFy_1" localSheetId="32">'46-25'!$I$9</definedName>
    <definedName name="RevisedFy_1" localSheetId="33">'54-24-7540'!$I$9</definedName>
    <definedName name="RevisedFy_1" localSheetId="34">'54-26'!$I$9</definedName>
    <definedName name="RevisedFy_1" localSheetId="35">'54-27-7545'!$I$9</definedName>
    <definedName name="RevisedFy_1" localSheetId="37">'54-32'!$I$9</definedName>
    <definedName name="RevisedFy_1" localSheetId="36">'54-32-7601'!$I$9</definedName>
    <definedName name="RevisedFy_1" localSheetId="38">'54-33-7560'!$I$9</definedName>
    <definedName name="RevisedFy_1" localSheetId="39">'54-53-7550'!$I$9</definedName>
    <definedName name="RevisedFy_1" localSheetId="40">'54-55-7580'!$I$9</definedName>
    <definedName name="RevisedFy_1" localSheetId="41">'54-76-7500'!$I$9</definedName>
    <definedName name="RevisedFy_1" localSheetId="42">'62-51'!$I$9</definedName>
    <definedName name="RevisedFy_1" localSheetId="43">'62-53'!$I$9</definedName>
    <definedName name="RevisedFy_1" localSheetId="44">'62-54'!$I$9</definedName>
    <definedName name="RevisedFy_1" localSheetId="45">'62-74'!$I$9</definedName>
    <definedName name="RevisedFy_1" localSheetId="46">'66-12'!$I$9</definedName>
    <definedName name="RevisedFy_1" localSheetId="47">'66-13'!$I$9</definedName>
    <definedName name="RevisedFy_1" localSheetId="48">'66-18'!$I$9</definedName>
    <definedName name="RevisedFy_1" localSheetId="49">'66-19'!$I$9</definedName>
    <definedName name="RevisedFy_1" localSheetId="50">'66-74'!$I$9</definedName>
    <definedName name="RevisedFy_1" localSheetId="51">'66-82'!$I$9</definedName>
    <definedName name="RevisedFy_1" localSheetId="52">'67-14'!$I$9</definedName>
    <definedName name="RevisedFy_1" localSheetId="53">'67-83-3610'!$I$9</definedName>
    <definedName name="RevisedFy_1" localSheetId="54">'67-83-3630'!$I$9</definedName>
    <definedName name="RevisedFy_1" localSheetId="55">'67-83-3640'!$I$9</definedName>
    <definedName name="RevisedFy_1" localSheetId="56">'67-83-3650'!$I$9</definedName>
    <definedName name="RevisedFy_1" localSheetId="73">'74-36'!$I$9</definedName>
    <definedName name="RevisedFy_1" localSheetId="57">'74-36-2405'!$I$9</definedName>
    <definedName name="RevisedFy_1" localSheetId="58">'74-36-2410'!$I$9</definedName>
    <definedName name="RevisedFy_1" localSheetId="59">'74-36-2415'!$I$9</definedName>
    <definedName name="RevisedFy_1" localSheetId="60">'74-36-2416'!$I$9</definedName>
    <definedName name="RevisedFy_1" localSheetId="61">'74-36-2417'!$I$9</definedName>
    <definedName name="RevisedFy_1" localSheetId="62">'74-36-2430'!$I$9</definedName>
    <definedName name="RevisedFy_1" localSheetId="63">'74-36-2440'!$I$9</definedName>
    <definedName name="RevisedFy_1" localSheetId="64">'74-36-2445'!$I$9</definedName>
    <definedName name="RevisedFy_1" localSheetId="65">'74-36-2450'!$I$9</definedName>
    <definedName name="RevisedFy_1" localSheetId="66">'74-36-2455'!$I$9</definedName>
    <definedName name="RevisedFy_1" localSheetId="67">'74-36-2460'!$I$9</definedName>
    <definedName name="RevisedFy_1" localSheetId="68">'74-36-2465'!$I$9</definedName>
    <definedName name="RevisedFy_1" localSheetId="69">'74-36-2470'!$I$9</definedName>
    <definedName name="RevisedFy_1" localSheetId="70">'74-36-2475'!$I$9</definedName>
    <definedName name="RevisedFy_1" localSheetId="71">'74-36-2480'!$I$9</definedName>
    <definedName name="RevisedFy_1" localSheetId="72">'74-36-2485'!$I$9</definedName>
    <definedName name="RevisedFy_1" localSheetId="75">'74-37'!$I$9</definedName>
    <definedName name="RevisedFy_1" localSheetId="74">'74-37-2541'!$I$9</definedName>
    <definedName name="RevisedFy_1" localSheetId="76">'74-74'!$I$9</definedName>
    <definedName name="RevisedFy_1" localSheetId="77">'78-11'!$I$9</definedName>
    <definedName name="RevisedFy_1" localSheetId="78">'78-61'!$I$9</definedName>
    <definedName name="RevisedFy_1" localSheetId="79">'78-62'!$I$9</definedName>
    <definedName name="RevisedFy_1" localSheetId="80">'78-64'!$I$9</definedName>
    <definedName name="RevisedFy_1" localSheetId="81">'82-52'!$I$9</definedName>
    <definedName name="RevisedFy_1" localSheetId="83">'82-72'!$I$9</definedName>
    <definedName name="RevisedFy_1" localSheetId="82">'82-72-2066'!$I$9</definedName>
    <definedName name="RevisedFy_1" localSheetId="84">'82-73'!$I$9</definedName>
    <definedName name="RevisedFy_1" localSheetId="87">'82-74'!$I$9</definedName>
    <definedName name="RevisedFy_1" localSheetId="100">'82-74-2020'!$I$9</definedName>
    <definedName name="RevisedFy_1" localSheetId="85">'82-74-2026'!$I$9</definedName>
    <definedName name="RevisedFy_1" localSheetId="86">'82-74-2034'!$I$9</definedName>
    <definedName name="RevisedFy_1" localSheetId="101">'82-74-2052'!$I$9</definedName>
    <definedName name="RevisedFy_1" localSheetId="102">'82-74-2056'!$I$9</definedName>
    <definedName name="RevisedFy_1" localSheetId="103">'82-74-2057'!$I$9</definedName>
    <definedName name="RevisedFy_1" localSheetId="104">'82-74-2065'!$I$9</definedName>
    <definedName name="RevisedFy_1" localSheetId="88">'82-75'!$I$9</definedName>
    <definedName name="RevisedFy_1" localSheetId="89">'82-76'!$I$9</definedName>
    <definedName name="RevisedFy_1" localSheetId="93">'82-82'!$I$9</definedName>
    <definedName name="RevisedFy_1" localSheetId="90">'82-82-2096'!$I$9</definedName>
    <definedName name="RevisedFy_1" localSheetId="91">'82-82-2097'!$I$9</definedName>
    <definedName name="RevisedFy_1" localSheetId="92">'82-82-2098'!$I$9</definedName>
    <definedName name="RevisedFy_1" localSheetId="94">'90-72-9148'!$I$9</definedName>
    <definedName name="RevisedFy_1" localSheetId="95">'94-74-9410'!$I$9</definedName>
    <definedName name="RevisedFy_1" localSheetId="96">'98-15'!$I$9</definedName>
    <definedName name="RevisedFy_1">#REF!</definedName>
  </definedNames>
  <calcPr calcId="152511" calcOnSave="0"/>
</workbook>
</file>

<file path=xl/calcChain.xml><?xml version="1.0" encoding="utf-8"?>
<calcChain xmlns="http://schemas.openxmlformats.org/spreadsheetml/2006/main">
  <c r="M9" i="317" l="1"/>
  <c r="K9" i="317"/>
  <c r="I9" i="317"/>
  <c r="G9" i="317"/>
  <c r="E9" i="317"/>
  <c r="C9" i="317"/>
  <c r="M9" i="316" l="1"/>
  <c r="K9" i="316"/>
  <c r="I9" i="316"/>
  <c r="G9" i="316"/>
  <c r="E9" i="316"/>
  <c r="C9" i="316"/>
  <c r="M9" i="315" l="1"/>
  <c r="K9" i="315"/>
  <c r="I9" i="315"/>
  <c r="G9" i="315"/>
  <c r="E9" i="315"/>
  <c r="C9" i="315"/>
  <c r="M9" i="314" l="1"/>
  <c r="K9" i="314"/>
  <c r="I9" i="314"/>
  <c r="G9" i="314"/>
  <c r="E9" i="314"/>
  <c r="C9" i="314"/>
  <c r="M9" i="313" l="1"/>
  <c r="K9" i="313"/>
  <c r="I9" i="313"/>
  <c r="G9" i="313"/>
  <c r="E9" i="313"/>
  <c r="C9" i="313"/>
  <c r="M9" i="312" l="1"/>
  <c r="K9" i="312"/>
  <c r="I9" i="312"/>
  <c r="G9" i="312"/>
  <c r="E9" i="312"/>
  <c r="C9" i="312"/>
  <c r="M9" i="311" l="1"/>
  <c r="K9" i="311"/>
  <c r="I9" i="311"/>
  <c r="G9" i="311"/>
  <c r="E9" i="311"/>
  <c r="C9" i="311"/>
  <c r="M9" i="310" l="1"/>
  <c r="K9" i="310"/>
  <c r="I9" i="310"/>
  <c r="G9" i="310"/>
  <c r="E9" i="310"/>
  <c r="C9" i="310"/>
  <c r="I196" i="309" l="1"/>
  <c r="E196" i="309"/>
  <c r="C196" i="309"/>
  <c r="I182" i="309"/>
  <c r="I171" i="309" s="1"/>
  <c r="E182" i="309"/>
  <c r="C182" i="309"/>
  <c r="I175" i="309"/>
  <c r="E175" i="309"/>
  <c r="C175" i="309"/>
  <c r="E173" i="309"/>
  <c r="C173" i="309"/>
  <c r="E171" i="309"/>
  <c r="C171" i="309"/>
  <c r="M9" i="309"/>
  <c r="K9" i="309"/>
  <c r="I9" i="309"/>
  <c r="G9" i="309"/>
  <c r="E9" i="309"/>
  <c r="C9" i="309"/>
  <c r="I173" i="309" l="1"/>
  <c r="M9" i="308" l="1"/>
  <c r="K9" i="308"/>
  <c r="I9" i="308"/>
  <c r="G9" i="308"/>
  <c r="E9" i="308"/>
  <c r="C9" i="308"/>
  <c r="M9" i="307" l="1"/>
  <c r="K9" i="307"/>
  <c r="I9" i="307"/>
  <c r="G9" i="307"/>
  <c r="E9" i="307"/>
  <c r="C9" i="307"/>
  <c r="K106" i="306" l="1"/>
  <c r="I106" i="306"/>
  <c r="E106" i="306"/>
  <c r="K97" i="306"/>
  <c r="I97" i="306"/>
  <c r="E97" i="306"/>
  <c r="E89" i="306" s="1"/>
  <c r="I90" i="306"/>
  <c r="E90" i="306"/>
  <c r="E91" i="306" s="1"/>
  <c r="I89" i="306"/>
  <c r="I87" i="306"/>
  <c r="E87" i="306"/>
  <c r="M9" i="306"/>
  <c r="K9" i="306"/>
  <c r="I9" i="306"/>
  <c r="G9" i="306"/>
  <c r="E9" i="306"/>
  <c r="C9" i="306"/>
  <c r="I36" i="305" l="1"/>
  <c r="E36" i="305"/>
  <c r="I34" i="305"/>
  <c r="E34" i="305"/>
  <c r="I32" i="305"/>
  <c r="E32" i="305"/>
  <c r="M9" i="305"/>
  <c r="K9" i="305"/>
  <c r="I9" i="305"/>
  <c r="G9" i="305"/>
  <c r="E9" i="305"/>
  <c r="C9" i="305"/>
  <c r="E39" i="304" l="1"/>
  <c r="E36" i="304"/>
  <c r="E29" i="304" s="1"/>
  <c r="E30" i="304"/>
  <c r="E31" i="304" s="1"/>
  <c r="C27" i="304"/>
  <c r="M9" i="304"/>
  <c r="K9" i="304"/>
  <c r="I9" i="304"/>
  <c r="G9" i="304"/>
  <c r="E9" i="304"/>
  <c r="C9" i="304"/>
  <c r="E27" i="304" l="1"/>
  <c r="E33" i="303"/>
  <c r="E30" i="303"/>
  <c r="E24" i="303" s="1"/>
  <c r="E25" i="303"/>
  <c r="E26" i="303" s="1"/>
  <c r="M9" i="303"/>
  <c r="K9" i="303"/>
  <c r="I9" i="303"/>
  <c r="G9" i="303"/>
  <c r="E9" i="303"/>
  <c r="C9" i="303"/>
  <c r="E22" i="303" l="1"/>
  <c r="M9" i="302"/>
  <c r="K9" i="302"/>
  <c r="I9" i="302"/>
  <c r="G9" i="302"/>
  <c r="E9" i="302"/>
  <c r="C9" i="302"/>
  <c r="M9" i="301" l="1"/>
  <c r="K9" i="301"/>
  <c r="I9" i="301"/>
  <c r="G9" i="301"/>
  <c r="E9" i="301"/>
  <c r="C9" i="301"/>
  <c r="M9" i="300" l="1"/>
  <c r="K9" i="300"/>
  <c r="I9" i="300"/>
  <c r="G9" i="300"/>
  <c r="E9" i="300"/>
  <c r="C9" i="300"/>
  <c r="K69" i="299" l="1"/>
  <c r="I69" i="299"/>
  <c r="K59" i="299"/>
  <c r="I59" i="299"/>
  <c r="G59" i="299"/>
  <c r="E59" i="299"/>
  <c r="C59" i="299"/>
  <c r="K43" i="299"/>
  <c r="I43" i="299"/>
  <c r="H43" i="299"/>
  <c r="G43" i="299"/>
  <c r="E43" i="299"/>
  <c r="C43" i="299"/>
  <c r="M9" i="299"/>
  <c r="K9" i="299"/>
  <c r="I9" i="299"/>
  <c r="G9" i="299"/>
  <c r="E9" i="299"/>
  <c r="C9" i="299"/>
  <c r="G34" i="298" l="1"/>
  <c r="G35" i="298" s="1"/>
  <c r="K32" i="298"/>
  <c r="K34" i="298" s="1"/>
  <c r="K35" i="298" s="1"/>
  <c r="I32" i="298"/>
  <c r="I21" i="298" s="1"/>
  <c r="H32" i="298"/>
  <c r="G32" i="298"/>
  <c r="E32" i="298"/>
  <c r="E34" i="298" s="1"/>
  <c r="E35" i="298" s="1"/>
  <c r="C32" i="298"/>
  <c r="C34" i="298" s="1"/>
  <c r="C35" i="298" s="1"/>
  <c r="I24" i="298"/>
  <c r="I25" i="298" s="1"/>
  <c r="E24" i="298"/>
  <c r="E25" i="298" s="1"/>
  <c r="C24" i="298"/>
  <c r="E23" i="298"/>
  <c r="E21" i="298"/>
  <c r="K16" i="298"/>
  <c r="I16" i="298"/>
  <c r="G16" i="298"/>
  <c r="E16" i="298"/>
  <c r="C16" i="298"/>
  <c r="C15" i="298"/>
  <c r="E12" i="298"/>
  <c r="E15" i="298" s="1"/>
  <c r="M9" i="298"/>
  <c r="K9" i="298"/>
  <c r="I9" i="298"/>
  <c r="G9" i="298"/>
  <c r="E9" i="298"/>
  <c r="C9" i="298"/>
  <c r="C23" i="298" l="1"/>
  <c r="C21" i="298"/>
  <c r="C25" i="298"/>
  <c r="G12" i="298"/>
  <c r="G15" i="298" s="1"/>
  <c r="I12" i="298"/>
  <c r="I15" i="298" s="1"/>
  <c r="K12" i="298" s="1"/>
  <c r="K15" i="298" s="1"/>
  <c r="I23" i="298"/>
  <c r="I34" i="298"/>
  <c r="I35" i="298" s="1"/>
  <c r="M9" i="297" l="1"/>
  <c r="K9" i="297"/>
  <c r="I9" i="297"/>
  <c r="G9" i="297"/>
  <c r="E9" i="297"/>
  <c r="C9" i="297"/>
  <c r="K23" i="296" l="1"/>
  <c r="I23" i="296"/>
  <c r="E23" i="296"/>
  <c r="K19" i="296"/>
  <c r="I19" i="296"/>
  <c r="E19" i="296"/>
  <c r="M9" i="296"/>
  <c r="K9" i="296"/>
  <c r="I9" i="296"/>
  <c r="G9" i="296"/>
  <c r="E9" i="296"/>
  <c r="C9" i="296"/>
  <c r="K15" i="295" l="1"/>
  <c r="I15" i="295"/>
  <c r="E15" i="295"/>
  <c r="M9" i="295"/>
  <c r="K9" i="295"/>
  <c r="I9" i="295"/>
  <c r="G9" i="295"/>
  <c r="E9" i="295"/>
  <c r="C9" i="295"/>
  <c r="K94" i="294" l="1"/>
  <c r="I94" i="294"/>
  <c r="G94" i="294"/>
  <c r="E94" i="294"/>
  <c r="C94" i="294"/>
  <c r="K87" i="294"/>
  <c r="G87" i="294"/>
  <c r="E87" i="294"/>
  <c r="C87" i="294"/>
  <c r="K79" i="294"/>
  <c r="I79" i="294"/>
  <c r="G79" i="294"/>
  <c r="E79" i="294"/>
  <c r="E73" i="294"/>
  <c r="M9" i="294"/>
  <c r="K9" i="294"/>
  <c r="I9" i="294"/>
  <c r="G9" i="294"/>
  <c r="E9" i="294"/>
  <c r="C9" i="294"/>
  <c r="K28" i="293" l="1"/>
  <c r="I28" i="293"/>
  <c r="G28" i="293"/>
  <c r="E28" i="293"/>
  <c r="C28" i="293"/>
  <c r="K24" i="293"/>
  <c r="I24" i="293"/>
  <c r="G24" i="293"/>
  <c r="E24" i="293"/>
  <c r="C24" i="293"/>
  <c r="I17" i="293"/>
  <c r="E17" i="293"/>
  <c r="C17" i="293"/>
  <c r="I16" i="293"/>
  <c r="G16" i="293"/>
  <c r="E16" i="293"/>
  <c r="C16" i="293"/>
  <c r="M9" i="293"/>
  <c r="K9" i="293"/>
  <c r="I9" i="293"/>
  <c r="G9" i="293"/>
  <c r="E9" i="293"/>
  <c r="C9" i="293"/>
  <c r="K67" i="292" l="1"/>
  <c r="I67" i="292"/>
  <c r="E67" i="292"/>
  <c r="E53" i="292" s="1"/>
  <c r="C67" i="292"/>
  <c r="G66" i="292"/>
  <c r="G65" i="292"/>
  <c r="G67" i="292" s="1"/>
  <c r="G64" i="292"/>
  <c r="G63" i="292"/>
  <c r="G62" i="292"/>
  <c r="I57" i="292"/>
  <c r="I56" i="292"/>
  <c r="E56" i="292"/>
  <c r="E57" i="292" s="1"/>
  <c r="C56" i="292"/>
  <c r="C57" i="292" s="1"/>
  <c r="I55" i="292"/>
  <c r="C55" i="292"/>
  <c r="I53" i="292"/>
  <c r="C53" i="292"/>
  <c r="K48" i="292"/>
  <c r="I48" i="292"/>
  <c r="G48" i="292"/>
  <c r="E48" i="292"/>
  <c r="C48" i="292"/>
  <c r="K43" i="292"/>
  <c r="I43" i="292"/>
  <c r="G43" i="292"/>
  <c r="E43" i="292"/>
  <c r="C43" i="292"/>
  <c r="K40" i="292"/>
  <c r="I40" i="292"/>
  <c r="G40" i="292"/>
  <c r="E40" i="292"/>
  <c r="C40" i="292"/>
  <c r="K29" i="292"/>
  <c r="I29" i="292"/>
  <c r="G29" i="292"/>
  <c r="E29" i="292"/>
  <c r="C29" i="292"/>
  <c r="K18" i="292"/>
  <c r="I18" i="292"/>
  <c r="G18" i="292"/>
  <c r="E18" i="292"/>
  <c r="C18" i="292"/>
  <c r="M9" i="292"/>
  <c r="K9" i="292"/>
  <c r="I9" i="292"/>
  <c r="G9" i="292"/>
  <c r="E9" i="292"/>
  <c r="C9" i="292"/>
  <c r="E55" i="292" l="1"/>
  <c r="K58" i="291" l="1"/>
  <c r="I58" i="291"/>
  <c r="G58" i="291"/>
  <c r="E58" i="291"/>
  <c r="C58" i="291"/>
  <c r="K53" i="291"/>
  <c r="I53" i="291"/>
  <c r="G53" i="291"/>
  <c r="E53" i="291"/>
  <c r="C53" i="291"/>
  <c r="M9" i="291"/>
  <c r="K9" i="291"/>
  <c r="I9" i="291"/>
  <c r="G9" i="291"/>
  <c r="E9" i="291"/>
  <c r="C9" i="291"/>
  <c r="K86" i="290" l="1"/>
  <c r="I86" i="290"/>
  <c r="G86" i="290"/>
  <c r="E86" i="290"/>
  <c r="I82" i="290"/>
  <c r="M9" i="290"/>
  <c r="K9" i="290"/>
  <c r="I9" i="290"/>
  <c r="G9" i="290"/>
  <c r="E9" i="290"/>
  <c r="C9" i="290"/>
  <c r="K58" i="289" l="1"/>
  <c r="I58" i="289"/>
  <c r="G58" i="289"/>
  <c r="E58" i="289"/>
  <c r="C58" i="289"/>
  <c r="K52" i="289"/>
  <c r="I52" i="289"/>
  <c r="G52" i="289"/>
  <c r="C52" i="289"/>
  <c r="C46" i="289"/>
  <c r="E44" i="289"/>
  <c r="C44" i="289"/>
  <c r="I43" i="289"/>
  <c r="I44" i="289" s="1"/>
  <c r="E43" i="289"/>
  <c r="E45" i="289" s="1"/>
  <c r="E46" i="289" s="1"/>
  <c r="I42" i="289"/>
  <c r="E42" i="289"/>
  <c r="C42" i="289"/>
  <c r="I41" i="289"/>
  <c r="I45" i="289" s="1"/>
  <c r="I46" i="289" s="1"/>
  <c r="M9" i="289"/>
  <c r="K9" i="289"/>
  <c r="I9" i="289"/>
  <c r="G9" i="289"/>
  <c r="E9" i="289"/>
  <c r="C9" i="289"/>
  <c r="K33" i="288" l="1"/>
  <c r="I33" i="288"/>
  <c r="G33" i="288"/>
  <c r="C33" i="288"/>
  <c r="K28" i="288"/>
  <c r="I28" i="288"/>
  <c r="G28" i="288"/>
  <c r="C28" i="288"/>
  <c r="M9" i="288"/>
  <c r="K9" i="288"/>
  <c r="I9" i="288"/>
  <c r="G9" i="288"/>
  <c r="E9" i="288"/>
  <c r="C9" i="288"/>
  <c r="C41" i="287" l="1"/>
  <c r="E39" i="287"/>
  <c r="E41" i="287" s="1"/>
  <c r="C39" i="287"/>
  <c r="M9" i="287"/>
  <c r="K9" i="287"/>
  <c r="I9" i="287"/>
  <c r="G9" i="287"/>
  <c r="E9" i="287"/>
  <c r="C9" i="287"/>
  <c r="K31" i="286" l="1"/>
  <c r="I31" i="286"/>
  <c r="H31" i="286"/>
  <c r="G31" i="286"/>
  <c r="E31" i="286"/>
  <c r="C31" i="286"/>
  <c r="K27" i="286"/>
  <c r="I27" i="286"/>
  <c r="E27" i="286"/>
  <c r="C27" i="286"/>
  <c r="K23" i="286"/>
  <c r="I23" i="286"/>
  <c r="H23" i="286"/>
  <c r="G23" i="286"/>
  <c r="E23" i="286"/>
  <c r="C23" i="286"/>
  <c r="K19" i="286"/>
  <c r="I19" i="286"/>
  <c r="H19" i="286"/>
  <c r="G19" i="286"/>
  <c r="E19" i="286"/>
  <c r="C19" i="286"/>
  <c r="K15" i="286"/>
  <c r="I15" i="286"/>
  <c r="H15" i="286"/>
  <c r="G15" i="286"/>
  <c r="E15" i="286"/>
  <c r="C15" i="286"/>
  <c r="M9" i="286"/>
  <c r="K9" i="286"/>
  <c r="I9" i="286"/>
  <c r="G9" i="286"/>
  <c r="E9" i="286"/>
  <c r="C9" i="286"/>
  <c r="I20" i="285" l="1"/>
  <c r="E20" i="285"/>
  <c r="I17" i="285"/>
  <c r="G17" i="285"/>
  <c r="E17" i="285"/>
  <c r="C17" i="285"/>
  <c r="M9" i="285"/>
  <c r="K9" i="285"/>
  <c r="I9" i="285"/>
  <c r="G9" i="285"/>
  <c r="E9" i="285"/>
  <c r="C9" i="285"/>
  <c r="I73" i="284" l="1"/>
  <c r="I50" i="284"/>
  <c r="E50" i="284"/>
  <c r="C50" i="284"/>
  <c r="K41" i="284"/>
  <c r="I41" i="284"/>
  <c r="E41" i="284"/>
  <c r="C41" i="284"/>
  <c r="K40" i="284"/>
  <c r="I40" i="284"/>
  <c r="E40" i="284"/>
  <c r="C40" i="284"/>
  <c r="K27" i="284"/>
  <c r="I27" i="284"/>
  <c r="G27" i="284"/>
  <c r="E27" i="284"/>
  <c r="E13" i="284" s="1"/>
  <c r="C27" i="284"/>
  <c r="K26" i="284"/>
  <c r="I26" i="284"/>
  <c r="E26" i="284"/>
  <c r="E12" i="284" s="1"/>
  <c r="C26" i="284"/>
  <c r="K21" i="284"/>
  <c r="I21" i="284"/>
  <c r="G21" i="284"/>
  <c r="E21" i="284"/>
  <c r="C21" i="284"/>
  <c r="K20" i="284"/>
  <c r="I20" i="284"/>
  <c r="G20" i="284"/>
  <c r="E20" i="284"/>
  <c r="C20" i="284"/>
  <c r="K15" i="284"/>
  <c r="K13" i="284" s="1"/>
  <c r="I15" i="284"/>
  <c r="G15" i="284"/>
  <c r="E15" i="284"/>
  <c r="C15" i="284"/>
  <c r="C13" i="284" s="1"/>
  <c r="K14" i="284"/>
  <c r="I14" i="284"/>
  <c r="G14" i="284"/>
  <c r="E14" i="284"/>
  <c r="C14" i="284"/>
  <c r="I13" i="284"/>
  <c r="G13" i="284"/>
  <c r="K12" i="284"/>
  <c r="I12" i="284"/>
  <c r="G12" i="284"/>
  <c r="C12" i="284"/>
  <c r="M9" i="284"/>
  <c r="K9" i="284"/>
  <c r="I9" i="284"/>
  <c r="G9" i="284"/>
  <c r="E9" i="284"/>
  <c r="C9" i="284"/>
  <c r="C51" i="283" l="1"/>
  <c r="I44" i="283"/>
  <c r="H44" i="283"/>
  <c r="G44" i="283"/>
  <c r="E44" i="283"/>
  <c r="C44" i="283"/>
  <c r="M9" i="283"/>
  <c r="K9" i="283"/>
  <c r="I9" i="283"/>
  <c r="G9" i="283"/>
  <c r="E9" i="283"/>
  <c r="C9" i="283"/>
  <c r="I46" i="282" l="1"/>
  <c r="E46" i="282"/>
  <c r="M9" i="282"/>
  <c r="K9" i="282"/>
  <c r="I9" i="282"/>
  <c r="G9" i="282"/>
  <c r="E9" i="282"/>
  <c r="C9" i="282"/>
  <c r="E57" i="281" l="1"/>
  <c r="C57" i="281"/>
  <c r="I44" i="281"/>
  <c r="H44" i="281"/>
  <c r="G44" i="281"/>
  <c r="E44" i="281"/>
  <c r="C44" i="281"/>
  <c r="C34" i="281"/>
  <c r="M9" i="281"/>
  <c r="K9" i="281"/>
  <c r="I9" i="281"/>
  <c r="G9" i="281"/>
  <c r="E9" i="281"/>
  <c r="C9" i="281"/>
  <c r="I44" i="280" l="1"/>
  <c r="M9" i="280"/>
  <c r="K9" i="280"/>
  <c r="I9" i="280"/>
  <c r="G9" i="280"/>
  <c r="E9" i="280"/>
  <c r="C9" i="280"/>
  <c r="I44" i="279" l="1"/>
  <c r="H44" i="279"/>
  <c r="G44" i="279"/>
  <c r="E44" i="279"/>
  <c r="C44" i="279"/>
  <c r="G40" i="279"/>
  <c r="C40" i="279"/>
  <c r="M9" i="279"/>
  <c r="K9" i="279"/>
  <c r="I9" i="279"/>
  <c r="G9" i="279"/>
  <c r="E9" i="279"/>
  <c r="C9" i="279"/>
  <c r="I55" i="278" l="1"/>
  <c r="H55" i="278"/>
  <c r="G55" i="278"/>
  <c r="E55" i="278"/>
  <c r="C55" i="278"/>
  <c r="G51" i="278"/>
  <c r="G50" i="278"/>
  <c r="G49" i="278"/>
  <c r="G48" i="278"/>
  <c r="G46" i="278" s="1"/>
  <c r="G47" i="278"/>
  <c r="C46" i="278"/>
  <c r="C45" i="278"/>
  <c r="G31" i="278"/>
  <c r="G30" i="278"/>
  <c r="G29" i="278"/>
  <c r="G27" i="278" s="1"/>
  <c r="G13" i="278" s="1"/>
  <c r="G28" i="278"/>
  <c r="G26" i="278" s="1"/>
  <c r="C27" i="278"/>
  <c r="C26" i="278"/>
  <c r="G21" i="278"/>
  <c r="C21" i="278"/>
  <c r="G20" i="278"/>
  <c r="C20" i="278"/>
  <c r="G15" i="278"/>
  <c r="C15" i="278"/>
  <c r="C13" i="278" s="1"/>
  <c r="G14" i="278"/>
  <c r="C14" i="278"/>
  <c r="C12" i="278" s="1"/>
  <c r="M9" i="278"/>
  <c r="K9" i="278"/>
  <c r="I9" i="278"/>
  <c r="G9" i="278"/>
  <c r="E9" i="278"/>
  <c r="C9" i="278"/>
  <c r="G12" i="278" l="1"/>
  <c r="I45" i="277"/>
  <c r="E45" i="277"/>
  <c r="C45" i="277"/>
  <c r="M9" i="277"/>
  <c r="K9" i="277"/>
  <c r="I9" i="277"/>
  <c r="G9" i="277"/>
  <c r="E9" i="277"/>
  <c r="C9" i="277"/>
  <c r="M9" i="276" l="1"/>
  <c r="K9" i="276"/>
  <c r="I9" i="276"/>
  <c r="G9" i="276"/>
  <c r="E9" i="276"/>
  <c r="C9" i="276"/>
  <c r="I40" i="275" l="1"/>
  <c r="H40" i="275"/>
  <c r="G40" i="275"/>
  <c r="E40" i="275"/>
  <c r="C40" i="275"/>
  <c r="M9" i="275"/>
  <c r="K9" i="275"/>
  <c r="I9" i="275"/>
  <c r="G9" i="275"/>
  <c r="E9" i="275"/>
  <c r="C9" i="275"/>
  <c r="I38" i="274" l="1"/>
  <c r="E38" i="274"/>
  <c r="C38" i="274"/>
  <c r="K21" i="274"/>
  <c r="I21" i="274"/>
  <c r="G21" i="274"/>
  <c r="E21" i="274"/>
  <c r="C21" i="274"/>
  <c r="K20" i="274"/>
  <c r="I20" i="274"/>
  <c r="G20" i="274"/>
  <c r="E20" i="274"/>
  <c r="C20" i="274"/>
  <c r="K15" i="274"/>
  <c r="I15" i="274"/>
  <c r="G15" i="274"/>
  <c r="G13" i="274" s="1"/>
  <c r="E15" i="274"/>
  <c r="E13" i="274" s="1"/>
  <c r="C15" i="274"/>
  <c r="K14" i="274"/>
  <c r="I14" i="274"/>
  <c r="I12" i="274" s="1"/>
  <c r="G14" i="274"/>
  <c r="G12" i="274" s="1"/>
  <c r="E14" i="274"/>
  <c r="C14" i="274"/>
  <c r="K13" i="274"/>
  <c r="I13" i="274"/>
  <c r="C13" i="274"/>
  <c r="K12" i="274"/>
  <c r="E12" i="274"/>
  <c r="C12" i="274"/>
  <c r="M9" i="274"/>
  <c r="K9" i="274"/>
  <c r="I9" i="274"/>
  <c r="G9" i="274"/>
  <c r="E9" i="274"/>
  <c r="C9" i="274"/>
  <c r="I38" i="273" l="1"/>
  <c r="E38" i="273"/>
  <c r="C38" i="273"/>
  <c r="K21" i="273"/>
  <c r="I21" i="273"/>
  <c r="G21" i="273"/>
  <c r="E21" i="273"/>
  <c r="C21" i="273"/>
  <c r="K20" i="273"/>
  <c r="I20" i="273"/>
  <c r="G20" i="273"/>
  <c r="E20" i="273"/>
  <c r="C20" i="273"/>
  <c r="K15" i="273"/>
  <c r="K13" i="273" s="1"/>
  <c r="I15" i="273"/>
  <c r="G15" i="273"/>
  <c r="E15" i="273"/>
  <c r="C15" i="273"/>
  <c r="C13" i="273" s="1"/>
  <c r="K14" i="273"/>
  <c r="I14" i="273"/>
  <c r="G14" i="273"/>
  <c r="E14" i="273"/>
  <c r="E12" i="273" s="1"/>
  <c r="C14" i="273"/>
  <c r="C12" i="273" s="1"/>
  <c r="G13" i="273"/>
  <c r="E13" i="273"/>
  <c r="I12" i="273"/>
  <c r="G12" i="273"/>
  <c r="M9" i="273"/>
  <c r="K9" i="273"/>
  <c r="I9" i="273"/>
  <c r="G9" i="273"/>
  <c r="E9" i="273"/>
  <c r="C9" i="273"/>
  <c r="K12" i="273" l="1"/>
  <c r="I13" i="273"/>
  <c r="M9" i="272"/>
  <c r="K9" i="272"/>
  <c r="I9" i="272"/>
  <c r="G9" i="272"/>
  <c r="E9" i="272"/>
  <c r="C9" i="272"/>
  <c r="I43" i="271" l="1"/>
  <c r="E43" i="271"/>
  <c r="C43" i="271"/>
  <c r="K27" i="271"/>
  <c r="I27" i="271"/>
  <c r="G27" i="271"/>
  <c r="E27" i="271"/>
  <c r="C27" i="271"/>
  <c r="K21" i="271"/>
  <c r="I21" i="271"/>
  <c r="G21" i="271"/>
  <c r="E21" i="271"/>
  <c r="C21" i="271"/>
  <c r="K20" i="271"/>
  <c r="I20" i="271"/>
  <c r="G20" i="271"/>
  <c r="E20" i="271"/>
  <c r="C20" i="271"/>
  <c r="K15" i="271"/>
  <c r="I15" i="271"/>
  <c r="I13" i="271" s="1"/>
  <c r="G15" i="271"/>
  <c r="E15" i="271"/>
  <c r="C15" i="271"/>
  <c r="K14" i="271"/>
  <c r="K12" i="271" s="1"/>
  <c r="I14" i="271"/>
  <c r="G14" i="271"/>
  <c r="E14" i="271"/>
  <c r="C14" i="271"/>
  <c r="C12" i="271" s="1"/>
  <c r="K13" i="271"/>
  <c r="G13" i="271"/>
  <c r="E13" i="271"/>
  <c r="C13" i="271"/>
  <c r="I12" i="271"/>
  <c r="G12" i="271"/>
  <c r="E12" i="271"/>
  <c r="M9" i="271"/>
  <c r="K9" i="271"/>
  <c r="I9" i="271"/>
  <c r="G9" i="271"/>
  <c r="E9" i="271"/>
  <c r="C9" i="271"/>
  <c r="K96" i="270" l="1"/>
  <c r="I96" i="270"/>
  <c r="G96" i="270"/>
  <c r="E96" i="270"/>
  <c r="C96" i="270"/>
  <c r="I89" i="270"/>
  <c r="E89" i="270"/>
  <c r="C89" i="270"/>
  <c r="I87" i="270"/>
  <c r="E87" i="270"/>
  <c r="C87" i="270"/>
  <c r="I85" i="270"/>
  <c r="E85" i="270"/>
  <c r="C85" i="270"/>
  <c r="G77" i="270"/>
  <c r="G76" i="270"/>
  <c r="C74" i="270"/>
  <c r="G74" i="270" s="1"/>
  <c r="C73" i="270"/>
  <c r="G73" i="270" s="1"/>
  <c r="G71" i="270"/>
  <c r="C71" i="270"/>
  <c r="C70" i="270"/>
  <c r="G70" i="270" s="1"/>
  <c r="G58" i="270"/>
  <c r="G56" i="270"/>
  <c r="G54" i="270" s="1"/>
  <c r="G62" i="270" s="1"/>
  <c r="K54" i="270"/>
  <c r="I54" i="270"/>
  <c r="E54" i="270"/>
  <c r="C54" i="270"/>
  <c r="K52" i="270"/>
  <c r="I52" i="270"/>
  <c r="G52" i="270"/>
  <c r="G61" i="270" s="1"/>
  <c r="E52" i="270"/>
  <c r="C52" i="270"/>
  <c r="K48" i="270"/>
  <c r="I48" i="270"/>
  <c r="G48" i="270"/>
  <c r="C48" i="270"/>
  <c r="K47" i="270"/>
  <c r="I47" i="270"/>
  <c r="I41" i="270" s="1"/>
  <c r="I61" i="270" s="1"/>
  <c r="G47" i="270"/>
  <c r="C47" i="270"/>
  <c r="K42" i="270"/>
  <c r="K62" i="270" s="1"/>
  <c r="I42" i="270"/>
  <c r="I62" i="270" s="1"/>
  <c r="G42" i="270"/>
  <c r="E42" i="270"/>
  <c r="C42" i="270"/>
  <c r="C62" i="270" s="1"/>
  <c r="K41" i="270"/>
  <c r="K61" i="270" s="1"/>
  <c r="G41" i="270"/>
  <c r="E41" i="270"/>
  <c r="E61" i="270" s="1"/>
  <c r="C41" i="270"/>
  <c r="M9" i="270"/>
  <c r="K9" i="270"/>
  <c r="I9" i="270"/>
  <c r="G9" i="270"/>
  <c r="E9" i="270"/>
  <c r="C9" i="270"/>
  <c r="C61" i="270" l="1"/>
  <c r="E62" i="270"/>
  <c r="K26" i="269"/>
  <c r="I26" i="269"/>
  <c r="G26" i="269"/>
  <c r="E26" i="269"/>
  <c r="C26" i="269"/>
  <c r="G16" i="269"/>
  <c r="K15" i="269"/>
  <c r="K16" i="269" s="1"/>
  <c r="I15" i="269"/>
  <c r="I16" i="269" s="1"/>
  <c r="G15" i="269"/>
  <c r="E15" i="269"/>
  <c r="E16" i="269" s="1"/>
  <c r="C15" i="269"/>
  <c r="C16" i="269" s="1"/>
  <c r="K14" i="269"/>
  <c r="I14" i="269"/>
  <c r="G14" i="269"/>
  <c r="C14" i="269"/>
  <c r="M9" i="269"/>
  <c r="K9" i="269"/>
  <c r="I9" i="269"/>
  <c r="G9" i="269"/>
  <c r="E9" i="269"/>
  <c r="C9" i="269"/>
  <c r="K26" i="268" l="1"/>
  <c r="I26" i="268"/>
  <c r="G26" i="268"/>
  <c r="E26" i="268"/>
  <c r="C26" i="268"/>
  <c r="G16" i="268"/>
  <c r="K15" i="268"/>
  <c r="K16" i="268" s="1"/>
  <c r="I15" i="268"/>
  <c r="I16" i="268" s="1"/>
  <c r="G15" i="268"/>
  <c r="E15" i="268"/>
  <c r="E16" i="268" s="1"/>
  <c r="C15" i="268"/>
  <c r="C16" i="268" s="1"/>
  <c r="K14" i="268"/>
  <c r="I14" i="268"/>
  <c r="G14" i="268"/>
  <c r="E14" i="268"/>
  <c r="C14" i="268"/>
  <c r="M9" i="268"/>
  <c r="K9" i="268"/>
  <c r="I9" i="268"/>
  <c r="G9" i="268"/>
  <c r="E9" i="268"/>
  <c r="C9" i="268"/>
  <c r="K26" i="267" l="1"/>
  <c r="I26" i="267"/>
  <c r="G26" i="267"/>
  <c r="E26" i="267"/>
  <c r="C26" i="267"/>
  <c r="K16" i="267"/>
  <c r="C16" i="267"/>
  <c r="K15" i="267"/>
  <c r="I15" i="267"/>
  <c r="I16" i="267" s="1"/>
  <c r="G15" i="267"/>
  <c r="G16" i="267" s="1"/>
  <c r="E15" i="267"/>
  <c r="E16" i="267" s="1"/>
  <c r="C15" i="267"/>
  <c r="I14" i="267"/>
  <c r="G14" i="267"/>
  <c r="E14" i="267"/>
  <c r="C14" i="267"/>
  <c r="M9" i="267"/>
  <c r="K9" i="267"/>
  <c r="I9" i="267"/>
  <c r="G9" i="267"/>
  <c r="E9" i="267"/>
  <c r="C9" i="267"/>
  <c r="K43" i="266" l="1"/>
  <c r="G43" i="266"/>
  <c r="E43" i="266"/>
  <c r="C43" i="266"/>
  <c r="I42" i="266"/>
  <c r="I41" i="266"/>
  <c r="I40" i="266"/>
  <c r="I43" i="266" s="1"/>
  <c r="K38" i="266"/>
  <c r="I38" i="266"/>
  <c r="G38" i="266"/>
  <c r="E38" i="266"/>
  <c r="C38" i="266"/>
  <c r="C31" i="266"/>
  <c r="E31" i="266" s="1"/>
  <c r="M9" i="266"/>
  <c r="K9" i="266"/>
  <c r="I9" i="266"/>
  <c r="G9" i="266"/>
  <c r="E9" i="266"/>
  <c r="C9" i="266"/>
  <c r="G31" i="266" l="1"/>
  <c r="I31" i="266"/>
  <c r="K31" i="266" s="1"/>
  <c r="K49" i="265" l="1"/>
  <c r="G49" i="265"/>
  <c r="E49" i="265"/>
  <c r="C49" i="265"/>
  <c r="I46" i="265"/>
  <c r="I49" i="265" s="1"/>
  <c r="K44" i="265"/>
  <c r="I44" i="265"/>
  <c r="G44" i="265"/>
  <c r="E44" i="265"/>
  <c r="C44" i="265"/>
  <c r="I38" i="265"/>
  <c r="H38" i="265"/>
  <c r="G38" i="265"/>
  <c r="E38" i="265"/>
  <c r="C38" i="265"/>
  <c r="I36" i="265"/>
  <c r="H36" i="265"/>
  <c r="G36" i="265"/>
  <c r="E36" i="265"/>
  <c r="C36" i="265"/>
  <c r="I34" i="265"/>
  <c r="H34" i="265"/>
  <c r="G34" i="265"/>
  <c r="E34" i="265"/>
  <c r="C34" i="265"/>
  <c r="M9" i="265"/>
  <c r="K9" i="265"/>
  <c r="I9" i="265"/>
  <c r="G9" i="265"/>
  <c r="E9" i="265"/>
  <c r="C9" i="265"/>
  <c r="K96" i="264" l="1"/>
  <c r="I96" i="264"/>
  <c r="G96" i="264"/>
  <c r="E96" i="264"/>
  <c r="C96" i="264"/>
  <c r="K90" i="264"/>
  <c r="I90" i="264"/>
  <c r="G90" i="264"/>
  <c r="E90" i="264"/>
  <c r="C90" i="264"/>
  <c r="M9" i="264"/>
  <c r="K9" i="264"/>
  <c r="I9" i="264"/>
  <c r="G9" i="264"/>
  <c r="E9" i="264"/>
  <c r="C9" i="264"/>
  <c r="K35" i="263" l="1"/>
  <c r="C35" i="263"/>
  <c r="K32" i="263"/>
  <c r="I32" i="263"/>
  <c r="I34" i="263" s="1"/>
  <c r="I35" i="263" s="1"/>
  <c r="G32" i="263"/>
  <c r="G34" i="263" s="1"/>
  <c r="G35" i="263" s="1"/>
  <c r="E32" i="263"/>
  <c r="E34" i="263" s="1"/>
  <c r="E35" i="263" s="1"/>
  <c r="C32" i="263"/>
  <c r="M9" i="263"/>
  <c r="K9" i="263"/>
  <c r="I9" i="263"/>
  <c r="G9" i="263"/>
  <c r="E9" i="263"/>
  <c r="C9" i="263"/>
  <c r="K28" i="262" l="1"/>
  <c r="I28" i="262"/>
  <c r="G28" i="262"/>
  <c r="E28" i="262"/>
  <c r="C28" i="262"/>
  <c r="K23" i="262"/>
  <c r="I23" i="262"/>
  <c r="G23" i="262"/>
  <c r="E23" i="262"/>
  <c r="C23" i="262"/>
  <c r="I17" i="262"/>
  <c r="E17" i="262"/>
  <c r="I16" i="262"/>
  <c r="E16" i="262"/>
  <c r="C16" i="262"/>
  <c r="C17" i="262" s="1"/>
  <c r="I15" i="262"/>
  <c r="E15" i="262"/>
  <c r="C15" i="262"/>
  <c r="I13" i="262"/>
  <c r="E13" i="262"/>
  <c r="C13" i="262"/>
  <c r="M9" i="262"/>
  <c r="K9" i="262"/>
  <c r="I9" i="262"/>
  <c r="G9" i="262"/>
  <c r="E9" i="262"/>
  <c r="C9" i="262"/>
  <c r="K53" i="261" l="1"/>
  <c r="I53" i="261"/>
  <c r="G53" i="261"/>
  <c r="E53" i="261"/>
  <c r="C53" i="261"/>
  <c r="K46" i="261"/>
  <c r="I46" i="261"/>
  <c r="G46" i="261"/>
  <c r="E46" i="261"/>
  <c r="C46" i="261"/>
  <c r="K29" i="261"/>
  <c r="I29" i="261"/>
  <c r="E29" i="261"/>
  <c r="C29" i="261"/>
  <c r="K25" i="261"/>
  <c r="I25" i="261"/>
  <c r="H25" i="261"/>
  <c r="G25" i="261"/>
  <c r="E25" i="261"/>
  <c r="C25" i="261"/>
  <c r="K16" i="261"/>
  <c r="I16" i="261"/>
  <c r="G16" i="261"/>
  <c r="E16" i="261"/>
  <c r="C16" i="261"/>
  <c r="K12" i="261"/>
  <c r="I12" i="261"/>
  <c r="E12" i="261"/>
  <c r="C12" i="261"/>
  <c r="M9" i="261"/>
  <c r="K9" i="261"/>
  <c r="I9" i="261"/>
  <c r="G9" i="261"/>
  <c r="E9" i="261"/>
  <c r="C9" i="261"/>
  <c r="K77" i="260" l="1"/>
  <c r="I77" i="260"/>
  <c r="G77" i="260"/>
  <c r="E77" i="260"/>
  <c r="C77" i="260"/>
  <c r="K69" i="260"/>
  <c r="I69" i="260"/>
  <c r="G69" i="260"/>
  <c r="E69" i="260"/>
  <c r="C69" i="260"/>
  <c r="C16" i="260"/>
  <c r="M9" i="260"/>
  <c r="K9" i="260"/>
  <c r="I9" i="260"/>
  <c r="G9" i="260"/>
  <c r="E9" i="260"/>
  <c r="C9" i="260"/>
  <c r="K141" i="259" l="1"/>
  <c r="I141" i="259"/>
  <c r="G141" i="259"/>
  <c r="E141" i="259"/>
  <c r="C141" i="259"/>
  <c r="K134" i="259"/>
  <c r="I134" i="259"/>
  <c r="G134" i="259"/>
  <c r="E134" i="259"/>
  <c r="C134" i="259"/>
  <c r="M9" i="259"/>
  <c r="K9" i="259"/>
  <c r="I9" i="259"/>
  <c r="G9" i="259"/>
  <c r="E9" i="259"/>
  <c r="C9" i="259"/>
  <c r="K85" i="258" l="1"/>
  <c r="I85" i="258"/>
  <c r="E85" i="258"/>
  <c r="C85" i="258"/>
  <c r="K81" i="258"/>
  <c r="I81" i="258"/>
  <c r="E81" i="258"/>
  <c r="C81" i="258"/>
  <c r="M9" i="258"/>
  <c r="K9" i="258"/>
  <c r="I9" i="258"/>
  <c r="G9" i="258"/>
  <c r="E9" i="258"/>
  <c r="C9" i="258"/>
  <c r="K119" i="257" l="1"/>
  <c r="I119" i="257"/>
  <c r="G119" i="257"/>
  <c r="E119" i="257"/>
  <c r="C119" i="257"/>
  <c r="K111" i="257"/>
  <c r="I111" i="257"/>
  <c r="G111" i="257"/>
  <c r="E111" i="257"/>
  <c r="C111" i="257"/>
  <c r="G103" i="257"/>
  <c r="C103" i="257"/>
  <c r="E100" i="257" s="1"/>
  <c r="E103" i="257" s="1"/>
  <c r="I100" i="257" s="1"/>
  <c r="I103" i="257" s="1"/>
  <c r="K100" i="257" s="1"/>
  <c r="K103" i="257" s="1"/>
  <c r="K93" i="257"/>
  <c r="I93" i="257"/>
  <c r="G93" i="257"/>
  <c r="G98" i="257" s="1"/>
  <c r="E93" i="257"/>
  <c r="C93" i="257"/>
  <c r="C98" i="257" s="1"/>
  <c r="E91" i="257" s="1"/>
  <c r="E98" i="257" s="1"/>
  <c r="I91" i="257" s="1"/>
  <c r="I98" i="257" s="1"/>
  <c r="K91" i="257" s="1"/>
  <c r="K98" i="257" s="1"/>
  <c r="M9" i="257"/>
  <c r="K9" i="257"/>
  <c r="I9" i="257"/>
  <c r="G9" i="257"/>
  <c r="E9" i="257"/>
  <c r="C9" i="257"/>
  <c r="K71" i="256" l="1"/>
  <c r="I71" i="256"/>
  <c r="G71" i="256"/>
  <c r="E71" i="256"/>
  <c r="C71" i="256"/>
  <c r="K63" i="256"/>
  <c r="I63" i="256"/>
  <c r="G63" i="256"/>
  <c r="E63" i="256"/>
  <c r="C63" i="256"/>
  <c r="C55" i="256"/>
  <c r="E52" i="256" s="1"/>
  <c r="E55" i="256" s="1"/>
  <c r="I52" i="256" s="1"/>
  <c r="I55" i="256" s="1"/>
  <c r="K52" i="256" s="1"/>
  <c r="K55" i="256" s="1"/>
  <c r="G50" i="256"/>
  <c r="C50" i="256"/>
  <c r="E47" i="256" s="1"/>
  <c r="E50" i="256" s="1"/>
  <c r="I47" i="256" s="1"/>
  <c r="I50" i="256" s="1"/>
  <c r="K47" i="256" s="1"/>
  <c r="K50" i="256" s="1"/>
  <c r="M9" i="256"/>
  <c r="K9" i="256"/>
  <c r="I9" i="256"/>
  <c r="G9" i="256"/>
  <c r="E9" i="256"/>
  <c r="C9" i="256"/>
  <c r="K27" i="255" l="1"/>
  <c r="I27" i="255"/>
  <c r="G27" i="255"/>
  <c r="E27" i="255"/>
  <c r="C27" i="255"/>
  <c r="K23" i="255"/>
  <c r="I23" i="255"/>
  <c r="G23" i="255"/>
  <c r="E23" i="255"/>
  <c r="C23" i="255"/>
  <c r="I17" i="255"/>
  <c r="E17" i="255"/>
  <c r="C17" i="255"/>
  <c r="I16" i="255"/>
  <c r="E16" i="255"/>
  <c r="C16" i="255"/>
  <c r="M9" i="255"/>
  <c r="K9" i="255"/>
  <c r="I9" i="255"/>
  <c r="G9" i="255"/>
  <c r="E9" i="255"/>
  <c r="C9" i="255"/>
  <c r="K28" i="254" l="1"/>
  <c r="I28" i="254"/>
  <c r="G28" i="254"/>
  <c r="E28" i="254"/>
  <c r="E27" i="254"/>
  <c r="C27" i="254"/>
  <c r="C28" i="254" s="1"/>
  <c r="K24" i="254"/>
  <c r="I24" i="254"/>
  <c r="G24" i="254"/>
  <c r="E24" i="254"/>
  <c r="C24" i="254"/>
  <c r="E21" i="254"/>
  <c r="C21" i="254"/>
  <c r="C17" i="254"/>
  <c r="I16" i="254"/>
  <c r="E16" i="254"/>
  <c r="C16" i="254"/>
  <c r="I15" i="254"/>
  <c r="E15" i="254"/>
  <c r="C15" i="254"/>
  <c r="I13" i="254"/>
  <c r="E13" i="254"/>
  <c r="C13" i="254"/>
  <c r="M9" i="254"/>
  <c r="K9" i="254"/>
  <c r="I9" i="254"/>
  <c r="G9" i="254"/>
  <c r="E9" i="254"/>
  <c r="C9" i="254"/>
  <c r="C32" i="253" l="1"/>
  <c r="C29" i="253"/>
  <c r="M9" i="253"/>
  <c r="K9" i="253"/>
  <c r="I9" i="253"/>
  <c r="G9" i="253"/>
  <c r="E9" i="253"/>
  <c r="C9" i="253"/>
  <c r="E109" i="252" l="1"/>
  <c r="C109" i="252"/>
  <c r="K106" i="252"/>
  <c r="K108" i="252" s="1"/>
  <c r="K109" i="252" s="1"/>
  <c r="G106" i="252"/>
  <c r="E106" i="252"/>
  <c r="C106" i="252"/>
  <c r="K99" i="252"/>
  <c r="I99" i="252"/>
  <c r="G99" i="252"/>
  <c r="C99" i="252"/>
  <c r="K98" i="252"/>
  <c r="I98" i="252"/>
  <c r="G98" i="252"/>
  <c r="E98" i="252"/>
  <c r="C98" i="252"/>
  <c r="E75" i="252"/>
  <c r="E99" i="252" s="1"/>
  <c r="G70" i="252"/>
  <c r="C70" i="252"/>
  <c r="I61" i="252"/>
  <c r="K58" i="252"/>
  <c r="I58" i="252"/>
  <c r="G58" i="252"/>
  <c r="E58" i="252"/>
  <c r="K56" i="252"/>
  <c r="K61" i="252" s="1"/>
  <c r="I56" i="252"/>
  <c r="G56" i="252"/>
  <c r="G61" i="252" s="1"/>
  <c r="E56" i="252"/>
  <c r="E61" i="252" s="1"/>
  <c r="C56" i="252"/>
  <c r="C61" i="252" s="1"/>
  <c r="I49" i="252"/>
  <c r="I51" i="252" s="1"/>
  <c r="G49" i="252"/>
  <c r="G51" i="252" s="1"/>
  <c r="K47" i="252"/>
  <c r="K49" i="252" s="1"/>
  <c r="K51" i="252" s="1"/>
  <c r="I47" i="252"/>
  <c r="E47" i="252"/>
  <c r="E49" i="252" s="1"/>
  <c r="E51" i="252" s="1"/>
  <c r="C47" i="252"/>
  <c r="C49" i="252" s="1"/>
  <c r="E40" i="252"/>
  <c r="E42" i="252" s="1"/>
  <c r="K34" i="252"/>
  <c r="K40" i="252" s="1"/>
  <c r="K42" i="252" s="1"/>
  <c r="I34" i="252"/>
  <c r="I40" i="252" s="1"/>
  <c r="I42" i="252" s="1"/>
  <c r="G34" i="252"/>
  <c r="G40" i="252" s="1"/>
  <c r="G42" i="252" s="1"/>
  <c r="E34" i="252"/>
  <c r="C34" i="252"/>
  <c r="C40" i="252" s="1"/>
  <c r="C42" i="252" s="1"/>
  <c r="K29" i="252"/>
  <c r="I29" i="252"/>
  <c r="G29" i="252"/>
  <c r="E29" i="252"/>
  <c r="C29" i="252"/>
  <c r="K23" i="252"/>
  <c r="I23" i="252"/>
  <c r="G23" i="252"/>
  <c r="E23" i="252"/>
  <c r="C23" i="252"/>
  <c r="K17" i="252"/>
  <c r="I17" i="252"/>
  <c r="G17" i="252"/>
  <c r="E17" i="252"/>
  <c r="C17" i="252"/>
  <c r="M9" i="252"/>
  <c r="K9" i="252"/>
  <c r="I9" i="252"/>
  <c r="G9" i="252"/>
  <c r="E9" i="252"/>
  <c r="C9" i="252"/>
  <c r="C50" i="252" l="1"/>
  <c r="C51" i="252"/>
  <c r="K54" i="251" l="1"/>
  <c r="I54" i="251"/>
  <c r="G54" i="251"/>
  <c r="E54" i="251"/>
  <c r="C54" i="251"/>
  <c r="K50" i="251"/>
  <c r="I50" i="251"/>
  <c r="G50" i="251"/>
  <c r="E50" i="251"/>
  <c r="C50" i="251"/>
  <c r="M9" i="251"/>
  <c r="K9" i="251"/>
  <c r="I9" i="251"/>
  <c r="G9" i="251"/>
  <c r="E9" i="251"/>
  <c r="C9" i="251"/>
  <c r="K119" i="250" l="1"/>
  <c r="I119" i="250"/>
  <c r="E119" i="250"/>
  <c r="C119" i="250"/>
  <c r="K115" i="250"/>
  <c r="I115" i="250"/>
  <c r="E115" i="250"/>
  <c r="C115" i="250"/>
  <c r="K42" i="250"/>
  <c r="I42" i="250"/>
  <c r="G42" i="250"/>
  <c r="E42" i="250"/>
  <c r="C42" i="250"/>
  <c r="K36" i="250"/>
  <c r="I36" i="250"/>
  <c r="G36" i="250"/>
  <c r="E36" i="250"/>
  <c r="C36" i="250"/>
  <c r="K30" i="250"/>
  <c r="I30" i="250"/>
  <c r="G30" i="250"/>
  <c r="E30" i="250"/>
  <c r="C30" i="250"/>
  <c r="K24" i="250"/>
  <c r="I24" i="250"/>
  <c r="G24" i="250"/>
  <c r="E24" i="250"/>
  <c r="C24" i="250"/>
  <c r="K18" i="250"/>
  <c r="I18" i="250"/>
  <c r="G18" i="250"/>
  <c r="E18" i="250"/>
  <c r="C18" i="250"/>
  <c r="M9" i="250"/>
  <c r="K9" i="250"/>
  <c r="I9" i="250"/>
  <c r="G9" i="250"/>
  <c r="E9" i="250"/>
  <c r="C9" i="250"/>
  <c r="K67" i="249" l="1"/>
  <c r="I67" i="249"/>
  <c r="G67" i="249"/>
  <c r="E67" i="249"/>
  <c r="C67" i="249"/>
  <c r="I63" i="249"/>
  <c r="G63" i="249"/>
  <c r="E63" i="249"/>
  <c r="C63" i="249"/>
  <c r="K55" i="249"/>
  <c r="I55" i="249"/>
  <c r="G55" i="249"/>
  <c r="E55" i="249"/>
  <c r="C55" i="249"/>
  <c r="K46" i="249"/>
  <c r="I46" i="249"/>
  <c r="G46" i="249"/>
  <c r="E46" i="249"/>
  <c r="C46" i="249"/>
  <c r="K25" i="249"/>
  <c r="I25" i="249"/>
  <c r="G25" i="249"/>
  <c r="E25" i="249"/>
  <c r="C25" i="249"/>
  <c r="K20" i="249"/>
  <c r="I20" i="249"/>
  <c r="G20" i="249"/>
  <c r="E20" i="249"/>
  <c r="C20" i="249"/>
  <c r="M9" i="249"/>
  <c r="K9" i="249"/>
  <c r="I9" i="249"/>
  <c r="G9" i="249"/>
  <c r="E9" i="249"/>
  <c r="C9" i="249"/>
  <c r="M9" i="248" l="1"/>
  <c r="K9" i="248"/>
  <c r="I9" i="248"/>
  <c r="G9" i="248"/>
  <c r="E9" i="248"/>
  <c r="C9" i="248"/>
  <c r="K102" i="247" l="1"/>
  <c r="G102" i="247"/>
  <c r="E102" i="247"/>
  <c r="I101" i="247"/>
  <c r="C101" i="247"/>
  <c r="I100" i="247"/>
  <c r="C100" i="247"/>
  <c r="C99" i="247"/>
  <c r="C98" i="247"/>
  <c r="I97" i="247"/>
  <c r="I102" i="247" s="1"/>
  <c r="C97" i="247"/>
  <c r="C102" i="247" s="1"/>
  <c r="K95" i="247"/>
  <c r="I95" i="247"/>
  <c r="G95" i="247"/>
  <c r="E95" i="247"/>
  <c r="C95" i="247"/>
  <c r="H53" i="247"/>
  <c r="K50" i="247"/>
  <c r="K52" i="247" s="1"/>
  <c r="K53" i="247" s="1"/>
  <c r="C50" i="247"/>
  <c r="C52" i="247" s="1"/>
  <c r="K47" i="247"/>
  <c r="I47" i="247"/>
  <c r="G47" i="247"/>
  <c r="E47" i="247"/>
  <c r="E50" i="247" s="1"/>
  <c r="E52" i="247" s="1"/>
  <c r="E53" i="247" s="1"/>
  <c r="C47" i="247"/>
  <c r="K42" i="247"/>
  <c r="I42" i="247"/>
  <c r="I50" i="247" s="1"/>
  <c r="I52" i="247" s="1"/>
  <c r="I53" i="247" s="1"/>
  <c r="E42" i="247"/>
  <c r="C42" i="247"/>
  <c r="G41" i="247"/>
  <c r="G40" i="247"/>
  <c r="G42" i="247" s="1"/>
  <c r="G50" i="247" s="1"/>
  <c r="G52" i="247" s="1"/>
  <c r="G53" i="247" s="1"/>
  <c r="C34" i="247"/>
  <c r="I29" i="247"/>
  <c r="I33" i="247" s="1"/>
  <c r="I34" i="247" s="1"/>
  <c r="K27" i="247"/>
  <c r="K29" i="247" s="1"/>
  <c r="K33" i="247" s="1"/>
  <c r="K34" i="247" s="1"/>
  <c r="I27" i="247"/>
  <c r="G27" i="247"/>
  <c r="E27" i="247"/>
  <c r="E29" i="247" s="1"/>
  <c r="E33" i="247" s="1"/>
  <c r="E34" i="247" s="1"/>
  <c r="C27" i="247"/>
  <c r="K22" i="247"/>
  <c r="I22" i="247"/>
  <c r="E22" i="247"/>
  <c r="G21" i="247"/>
  <c r="G20" i="247"/>
  <c r="G22" i="247" s="1"/>
  <c r="G29" i="247" s="1"/>
  <c r="G33" i="247" s="1"/>
  <c r="G34" i="247" s="1"/>
  <c r="C20" i="247"/>
  <c r="C22" i="247" s="1"/>
  <c r="K16" i="247"/>
  <c r="I16" i="247"/>
  <c r="G16" i="247"/>
  <c r="E16" i="247"/>
  <c r="G15" i="247"/>
  <c r="C14" i="247"/>
  <c r="C16" i="247" s="1"/>
  <c r="M9" i="247"/>
  <c r="K9" i="247"/>
  <c r="I9" i="247"/>
  <c r="G9" i="247"/>
  <c r="E9" i="247"/>
  <c r="C9" i="247"/>
  <c r="C29" i="247" l="1"/>
  <c r="C33" i="247" s="1"/>
  <c r="M9" i="246" l="1"/>
  <c r="K9" i="246"/>
  <c r="I9" i="246"/>
  <c r="G9" i="246"/>
  <c r="E9" i="246"/>
  <c r="C9" i="246"/>
  <c r="G27" i="245" l="1"/>
  <c r="C27" i="245"/>
  <c r="I24" i="245"/>
  <c r="G24" i="245"/>
  <c r="K23" i="245"/>
  <c r="K24" i="245" s="1"/>
  <c r="I23" i="245"/>
  <c r="E21" i="245"/>
  <c r="E24" i="245" s="1"/>
  <c r="C21" i="245"/>
  <c r="C24" i="245" s="1"/>
  <c r="H17" i="245"/>
  <c r="G17" i="245"/>
  <c r="I16" i="245"/>
  <c r="I15" i="245"/>
  <c r="I17" i="245" s="1"/>
  <c r="E15" i="245"/>
  <c r="E14" i="245"/>
  <c r="C14" i="245"/>
  <c r="C15" i="245" s="1"/>
  <c r="I13" i="245"/>
  <c r="E12" i="245"/>
  <c r="E16" i="245" s="1"/>
  <c r="C12" i="245"/>
  <c r="C16" i="245" s="1"/>
  <c r="M9" i="245"/>
  <c r="K9" i="245"/>
  <c r="I9" i="245"/>
  <c r="G9" i="245"/>
  <c r="E9" i="245"/>
  <c r="C9" i="245"/>
  <c r="C13" i="245" l="1"/>
  <c r="C17" i="245" s="1"/>
  <c r="E13" i="245"/>
  <c r="E17" i="245" s="1"/>
  <c r="K114" i="244" l="1"/>
  <c r="I114" i="244"/>
  <c r="G114" i="244"/>
  <c r="E114" i="244"/>
  <c r="C114" i="244"/>
  <c r="K110" i="244"/>
  <c r="I110" i="244"/>
  <c r="G110" i="244"/>
  <c r="E110" i="244"/>
  <c r="C110" i="244"/>
  <c r="K47" i="244"/>
  <c r="I47" i="244"/>
  <c r="E47" i="244"/>
  <c r="C47" i="244"/>
  <c r="K38" i="244"/>
  <c r="I38" i="244"/>
  <c r="E38" i="244"/>
  <c r="C38" i="244"/>
  <c r="K29" i="244"/>
  <c r="I29" i="244"/>
  <c r="E29" i="244"/>
  <c r="C29" i="244"/>
  <c r="K20" i="244"/>
  <c r="I20" i="244"/>
  <c r="E20" i="244"/>
  <c r="C20" i="244"/>
  <c r="M9" i="244"/>
  <c r="K9" i="244"/>
  <c r="I9" i="244"/>
  <c r="G9" i="244"/>
  <c r="E9" i="244"/>
  <c r="C9" i="244"/>
  <c r="K118" i="243" l="1"/>
  <c r="I118" i="243"/>
  <c r="G118" i="243"/>
  <c r="E118" i="243"/>
  <c r="C118" i="243"/>
  <c r="K113" i="243"/>
  <c r="I113" i="243"/>
  <c r="G113" i="243"/>
  <c r="E113" i="243"/>
  <c r="C113" i="243"/>
  <c r="C105" i="243"/>
  <c r="K97" i="243"/>
  <c r="I97" i="243"/>
  <c r="H97" i="243"/>
  <c r="G97" i="243"/>
  <c r="E97" i="243"/>
  <c r="C97" i="243"/>
  <c r="K90" i="243"/>
  <c r="I90" i="243"/>
  <c r="G90" i="243"/>
  <c r="E90" i="243"/>
  <c r="C90" i="243"/>
  <c r="K83" i="243"/>
  <c r="I83" i="243"/>
  <c r="G83" i="243"/>
  <c r="E83" i="243"/>
  <c r="C83" i="243"/>
  <c r="G69" i="243"/>
  <c r="C69" i="243"/>
  <c r="H16" i="243"/>
  <c r="G16" i="243"/>
  <c r="E16" i="243"/>
  <c r="C16" i="243"/>
  <c r="K15" i="243"/>
  <c r="I15" i="243"/>
  <c r="H15" i="243"/>
  <c r="G15" i="243"/>
  <c r="E15" i="243"/>
  <c r="C15" i="243"/>
  <c r="M9" i="243"/>
  <c r="K9" i="243"/>
  <c r="I9" i="243"/>
  <c r="G9" i="243"/>
  <c r="E9" i="243"/>
  <c r="C9" i="243"/>
  <c r="E67" i="242" l="1"/>
  <c r="E69" i="242" s="1"/>
  <c r="C67" i="242"/>
  <c r="C69" i="242" s="1"/>
  <c r="E62" i="242"/>
  <c r="E65" i="242" s="1"/>
  <c r="C62" i="242"/>
  <c r="C65" i="242" s="1"/>
  <c r="K57" i="242"/>
  <c r="I57" i="242"/>
  <c r="E57" i="242"/>
  <c r="C57" i="242"/>
  <c r="C23" i="242"/>
  <c r="M9" i="242"/>
  <c r="K9" i="242"/>
  <c r="I9" i="242"/>
  <c r="G9" i="242"/>
  <c r="E9" i="242"/>
  <c r="C9" i="242"/>
  <c r="K132" i="241" l="1"/>
  <c r="I132" i="241"/>
  <c r="G132" i="241"/>
  <c r="E132" i="241"/>
  <c r="C132" i="241"/>
  <c r="K125" i="241"/>
  <c r="I125" i="241"/>
  <c r="G125" i="241"/>
  <c r="E125" i="241"/>
  <c r="C125" i="241"/>
  <c r="G111" i="241"/>
  <c r="C102" i="241"/>
  <c r="C101" i="241"/>
  <c r="M9" i="241"/>
  <c r="K9" i="241"/>
  <c r="I9" i="241"/>
  <c r="G9" i="241"/>
  <c r="E9" i="241"/>
  <c r="C9" i="241"/>
  <c r="K40" i="240" l="1"/>
  <c r="I40" i="240"/>
  <c r="G40" i="240"/>
  <c r="E40" i="240"/>
  <c r="C38" i="240"/>
  <c r="C40" i="240" s="1"/>
  <c r="K32" i="240"/>
  <c r="I32" i="240"/>
  <c r="G32" i="240"/>
  <c r="E32" i="240"/>
  <c r="C32" i="240"/>
  <c r="M9" i="240"/>
  <c r="K9" i="240"/>
  <c r="I9" i="240"/>
  <c r="G9" i="240"/>
  <c r="E9" i="240"/>
  <c r="C9" i="240"/>
  <c r="K32" i="239" l="1"/>
  <c r="I32" i="239"/>
  <c r="G32" i="239"/>
  <c r="E32" i="239"/>
  <c r="C32" i="239"/>
  <c r="K28" i="239"/>
  <c r="I28" i="239"/>
  <c r="G28" i="239"/>
  <c r="E28" i="239"/>
  <c r="C28" i="239"/>
  <c r="M9" i="239"/>
  <c r="K9" i="239"/>
  <c r="I9" i="239"/>
  <c r="G9" i="239"/>
  <c r="E9" i="239"/>
  <c r="C9" i="239"/>
  <c r="K58" i="238" l="1"/>
  <c r="I58" i="238"/>
  <c r="G58" i="238"/>
  <c r="E58" i="238"/>
  <c r="C58" i="238"/>
  <c r="K50" i="238"/>
  <c r="I50" i="238"/>
  <c r="G50" i="238"/>
  <c r="E50" i="238"/>
  <c r="C50" i="238"/>
  <c r="M9" i="238"/>
  <c r="K9" i="238"/>
  <c r="I9" i="238"/>
  <c r="G9" i="238"/>
  <c r="E9" i="238"/>
  <c r="C9" i="238"/>
  <c r="K47" i="237" l="1"/>
  <c r="I47" i="237"/>
  <c r="G47" i="237"/>
  <c r="E47" i="237"/>
  <c r="C47" i="237"/>
  <c r="K41" i="237"/>
  <c r="I41" i="237"/>
  <c r="G41" i="237"/>
  <c r="E41" i="237"/>
  <c r="C41" i="237"/>
  <c r="K22" i="237"/>
  <c r="I22" i="237"/>
  <c r="E22" i="237"/>
  <c r="M9" i="237"/>
  <c r="K9" i="237"/>
  <c r="I9" i="237"/>
  <c r="G9" i="237"/>
  <c r="E9" i="237"/>
  <c r="C9" i="237"/>
  <c r="K41" i="236" l="1"/>
  <c r="I41" i="236"/>
  <c r="G41" i="236"/>
  <c r="E41" i="236"/>
  <c r="C41" i="236"/>
  <c r="K32" i="236"/>
  <c r="I32" i="236"/>
  <c r="G32" i="236"/>
  <c r="E32" i="236"/>
  <c r="C32" i="236"/>
  <c r="M9" i="236"/>
  <c r="K9" i="236"/>
  <c r="I9" i="236"/>
  <c r="G9" i="236"/>
  <c r="E9" i="236"/>
  <c r="C9" i="236"/>
  <c r="K52" i="235" l="1"/>
  <c r="I52" i="235"/>
  <c r="G52" i="235"/>
  <c r="E52" i="235"/>
  <c r="C52" i="235"/>
  <c r="K43" i="235"/>
  <c r="I43" i="235"/>
  <c r="G43" i="235"/>
  <c r="E43" i="235"/>
  <c r="C43" i="235"/>
  <c r="M9" i="235"/>
  <c r="K9" i="235"/>
  <c r="I9" i="235"/>
  <c r="G9" i="235"/>
  <c r="E9" i="235"/>
  <c r="C9" i="235"/>
  <c r="K37" i="234" l="1"/>
  <c r="I37" i="234"/>
  <c r="G37" i="234"/>
  <c r="E37" i="234"/>
  <c r="C37" i="234"/>
  <c r="K32" i="234"/>
  <c r="I32" i="234"/>
  <c r="G32" i="234"/>
  <c r="E32" i="234"/>
  <c r="C32" i="234"/>
  <c r="M9" i="234"/>
  <c r="K9" i="234"/>
  <c r="I9" i="234"/>
  <c r="G9" i="234"/>
  <c r="E9" i="234"/>
  <c r="C9" i="234"/>
  <c r="K62" i="233" l="1"/>
  <c r="I62" i="233"/>
  <c r="G62" i="233"/>
  <c r="E62" i="233"/>
  <c r="C62" i="233"/>
  <c r="K50" i="233"/>
  <c r="I50" i="233"/>
  <c r="G50" i="233"/>
  <c r="E50" i="233"/>
  <c r="C50" i="233"/>
  <c r="M9" i="233"/>
  <c r="K9" i="233"/>
  <c r="I9" i="233"/>
  <c r="G9" i="233"/>
  <c r="E9" i="233"/>
  <c r="C9" i="233"/>
  <c r="K24" i="232" l="1"/>
  <c r="I24" i="232"/>
  <c r="G24" i="232"/>
  <c r="E24" i="232"/>
  <c r="C24" i="232"/>
  <c r="K21" i="232"/>
  <c r="I21" i="232"/>
  <c r="G21" i="232"/>
  <c r="E21" i="232"/>
  <c r="C21" i="232"/>
  <c r="M9" i="232"/>
  <c r="K9" i="232"/>
  <c r="I9" i="232"/>
  <c r="G9" i="232"/>
  <c r="E9" i="232"/>
  <c r="C9" i="232"/>
  <c r="K34" i="231" l="1"/>
  <c r="I34" i="231"/>
  <c r="G34" i="231"/>
  <c r="E34" i="231"/>
  <c r="C34" i="231"/>
  <c r="K30" i="231"/>
  <c r="I30" i="231"/>
  <c r="G30" i="231"/>
  <c r="E30" i="231"/>
  <c r="C30" i="231"/>
  <c r="C12" i="231"/>
  <c r="M9" i="231"/>
  <c r="K9" i="231"/>
  <c r="I9" i="231"/>
  <c r="G9" i="231"/>
  <c r="E9" i="231"/>
  <c r="C9" i="231"/>
  <c r="K57" i="230" l="1"/>
  <c r="I57" i="230"/>
  <c r="G57" i="230"/>
  <c r="E57" i="230"/>
  <c r="C57" i="230"/>
  <c r="K51" i="230"/>
  <c r="I51" i="230"/>
  <c r="G51" i="230"/>
  <c r="E51" i="230"/>
  <c r="C51" i="230"/>
  <c r="E42" i="230"/>
  <c r="C42" i="230"/>
  <c r="E23" i="230"/>
  <c r="C23" i="230"/>
  <c r="G21" i="230"/>
  <c r="C21" i="230"/>
  <c r="C20" i="230"/>
  <c r="C19" i="230"/>
  <c r="M9" i="230"/>
  <c r="K9" i="230"/>
  <c r="I9" i="230"/>
  <c r="G9" i="230"/>
  <c r="E9" i="230"/>
  <c r="C9" i="230"/>
  <c r="K27" i="229" l="1"/>
  <c r="K24" i="229"/>
  <c r="I24" i="229"/>
  <c r="G24" i="229"/>
  <c r="E24" i="229"/>
  <c r="C24" i="229"/>
  <c r="I16" i="229"/>
  <c r="M9" i="229"/>
  <c r="K9" i="229"/>
  <c r="I9" i="229"/>
  <c r="G9" i="229"/>
  <c r="E9" i="229"/>
  <c r="C9" i="229"/>
  <c r="K67" i="228" l="1"/>
  <c r="I67" i="228"/>
  <c r="G67" i="228"/>
  <c r="E67" i="228"/>
  <c r="C67" i="228"/>
  <c r="K62" i="228"/>
  <c r="I62" i="228"/>
  <c r="G62" i="228"/>
  <c r="E62" i="228"/>
  <c r="C62" i="228"/>
  <c r="I57" i="228"/>
  <c r="I56" i="228"/>
  <c r="E56" i="228"/>
  <c r="E57" i="228" s="1"/>
  <c r="C56" i="228"/>
  <c r="I55" i="228"/>
  <c r="E55" i="228"/>
  <c r="I53" i="228"/>
  <c r="E53" i="228"/>
  <c r="I41" i="228"/>
  <c r="G41" i="228"/>
  <c r="E41" i="228"/>
  <c r="C41" i="228"/>
  <c r="K38" i="228"/>
  <c r="I38" i="228"/>
  <c r="G38" i="228"/>
  <c r="E38" i="228"/>
  <c r="C38" i="228"/>
  <c r="M9" i="228"/>
  <c r="K9" i="228"/>
  <c r="I9" i="228"/>
  <c r="G9" i="228"/>
  <c r="E9" i="228"/>
  <c r="C9" i="228"/>
  <c r="K264" i="227" l="1"/>
  <c r="I264" i="227"/>
  <c r="G264" i="227"/>
  <c r="E264" i="227"/>
  <c r="K259" i="227"/>
  <c r="I259" i="227"/>
  <c r="G259" i="227"/>
  <c r="E259" i="227"/>
  <c r="K251" i="227"/>
  <c r="E251" i="227"/>
  <c r="C251" i="227"/>
  <c r="K249" i="227"/>
  <c r="I249" i="227"/>
  <c r="G249" i="227"/>
  <c r="E249" i="227"/>
  <c r="C249" i="227"/>
  <c r="K248" i="227"/>
  <c r="I248" i="227"/>
  <c r="G248" i="227"/>
  <c r="E248" i="227"/>
  <c r="C248" i="227"/>
  <c r="K245" i="227"/>
  <c r="I245" i="227"/>
  <c r="G245" i="227"/>
  <c r="E245" i="227"/>
  <c r="C245" i="227"/>
  <c r="K244" i="227"/>
  <c r="I244" i="227"/>
  <c r="G244" i="227"/>
  <c r="E244" i="227"/>
  <c r="C244" i="227"/>
  <c r="K242" i="227"/>
  <c r="I242" i="227"/>
  <c r="G242" i="227"/>
  <c r="E242" i="227"/>
  <c r="C242" i="227"/>
  <c r="K241" i="227"/>
  <c r="I241" i="227"/>
  <c r="G241" i="227"/>
  <c r="E241" i="227"/>
  <c r="C241" i="227"/>
  <c r="M9" i="227"/>
  <c r="K9" i="227"/>
  <c r="I9" i="227"/>
  <c r="G9" i="227"/>
  <c r="E9" i="227"/>
  <c r="C9" i="227"/>
  <c r="K26" i="226" l="1"/>
  <c r="I26" i="226"/>
  <c r="G26" i="226"/>
  <c r="E26" i="226"/>
  <c r="K22" i="226"/>
  <c r="I22" i="226"/>
  <c r="G22" i="226"/>
  <c r="E22" i="226"/>
  <c r="M9" i="226"/>
  <c r="K9" i="226"/>
  <c r="I9" i="226"/>
  <c r="G9" i="226"/>
  <c r="E9" i="226"/>
  <c r="C9" i="226"/>
  <c r="K34" i="225" l="1"/>
  <c r="I34" i="225"/>
  <c r="G34" i="225"/>
  <c r="E34" i="225"/>
  <c r="C34" i="225"/>
  <c r="K30" i="225"/>
  <c r="I30" i="225"/>
  <c r="G30" i="225"/>
  <c r="E30" i="225"/>
  <c r="C30" i="225"/>
  <c r="M9" i="225"/>
  <c r="K9" i="225"/>
  <c r="I9" i="225"/>
  <c r="G9" i="225"/>
  <c r="E9" i="225"/>
  <c r="C9" i="225"/>
  <c r="K48" i="224" l="1"/>
  <c r="I48" i="224"/>
  <c r="G48" i="224"/>
  <c r="E48" i="224"/>
  <c r="C48" i="224"/>
  <c r="K44" i="224"/>
  <c r="I44" i="224"/>
  <c r="G44" i="224"/>
  <c r="E44" i="224"/>
  <c r="C44" i="224"/>
  <c r="M9" i="224"/>
  <c r="K9" i="224"/>
  <c r="I9" i="224"/>
  <c r="G9" i="224"/>
  <c r="E9" i="224"/>
  <c r="C9" i="224"/>
  <c r="G33" i="223" l="1"/>
  <c r="G30" i="223"/>
  <c r="C30" i="223"/>
  <c r="M9" i="223"/>
  <c r="K9" i="223"/>
  <c r="I9" i="223"/>
  <c r="G9" i="223"/>
  <c r="E9" i="223"/>
  <c r="C9" i="223"/>
  <c r="K71" i="222" l="1"/>
  <c r="I71" i="222"/>
  <c r="G71" i="222"/>
  <c r="E71" i="222"/>
  <c r="C71" i="222"/>
  <c r="K62" i="222"/>
  <c r="I62" i="222"/>
  <c r="G62" i="222"/>
  <c r="E62" i="222"/>
  <c r="C62" i="222"/>
  <c r="M9" i="222"/>
  <c r="K9" i="222"/>
  <c r="I9" i="222"/>
  <c r="G9" i="222"/>
  <c r="E9" i="222"/>
  <c r="C9" i="222"/>
  <c r="K147" i="221" l="1"/>
  <c r="I147" i="221"/>
  <c r="G147" i="221"/>
  <c r="E147" i="221"/>
  <c r="C147" i="221"/>
  <c r="K139" i="221"/>
  <c r="I139" i="221"/>
  <c r="G139" i="221"/>
  <c r="E139" i="221"/>
  <c r="C139" i="221"/>
  <c r="I132" i="221"/>
  <c r="E132" i="221"/>
  <c r="C132" i="221"/>
  <c r="I131" i="221"/>
  <c r="I130" i="221"/>
  <c r="E130" i="221"/>
  <c r="C130" i="221"/>
  <c r="I128" i="221"/>
  <c r="E128" i="221"/>
  <c r="C128" i="221"/>
  <c r="G118" i="221"/>
  <c r="I117" i="221"/>
  <c r="I118" i="221" s="1"/>
  <c r="G117" i="221"/>
  <c r="C117" i="221"/>
  <c r="C118" i="221" s="1"/>
  <c r="K116" i="221"/>
  <c r="K117" i="221" s="1"/>
  <c r="K118" i="221" s="1"/>
  <c r="E114" i="221"/>
  <c r="E117" i="221" s="1"/>
  <c r="E118" i="221" s="1"/>
  <c r="C114" i="221"/>
  <c r="K112" i="221"/>
  <c r="I112" i="221"/>
  <c r="G112" i="221"/>
  <c r="C112" i="221"/>
  <c r="E111" i="221"/>
  <c r="E112" i="221" s="1"/>
  <c r="C111" i="221"/>
  <c r="K107" i="221"/>
  <c r="I107" i="221"/>
  <c r="G107" i="221"/>
  <c r="E107" i="221"/>
  <c r="C107" i="221"/>
  <c r="K103" i="221"/>
  <c r="I103" i="221"/>
  <c r="G103" i="221"/>
  <c r="E103" i="221"/>
  <c r="C103" i="221"/>
  <c r="K99" i="221"/>
  <c r="I99" i="221"/>
  <c r="G99" i="221"/>
  <c r="E99" i="221"/>
  <c r="C99" i="221"/>
  <c r="K92" i="221"/>
  <c r="I92" i="221"/>
  <c r="G92" i="221"/>
  <c r="E92" i="221"/>
  <c r="C92" i="221"/>
  <c r="K88" i="221"/>
  <c r="I88" i="221"/>
  <c r="G88" i="221"/>
  <c r="E88" i="221"/>
  <c r="C88" i="221"/>
  <c r="K84" i="221"/>
  <c r="I84" i="221"/>
  <c r="G84" i="221"/>
  <c r="E84" i="221"/>
  <c r="C84" i="221"/>
  <c r="K80" i="221"/>
  <c r="I80" i="221"/>
  <c r="G80" i="221"/>
  <c r="E80" i="221"/>
  <c r="C80" i="221"/>
  <c r="K73" i="221"/>
  <c r="I73" i="221"/>
  <c r="G73" i="221"/>
  <c r="E73" i="221"/>
  <c r="C73" i="221"/>
  <c r="K69" i="221"/>
  <c r="I69" i="221"/>
  <c r="G69" i="221"/>
  <c r="E69" i="221"/>
  <c r="C69" i="221"/>
  <c r="K65" i="221"/>
  <c r="I65" i="221"/>
  <c r="G65" i="221"/>
  <c r="E65" i="221"/>
  <c r="C65" i="221"/>
  <c r="K59" i="221"/>
  <c r="I59" i="221"/>
  <c r="G59" i="221"/>
  <c r="E59" i="221"/>
  <c r="C59" i="221"/>
  <c r="K52" i="221"/>
  <c r="I52" i="221"/>
  <c r="G52" i="221"/>
  <c r="E52" i="221"/>
  <c r="C52" i="221"/>
  <c r="K48" i="221"/>
  <c r="I48" i="221"/>
  <c r="G48" i="221"/>
  <c r="E48" i="221"/>
  <c r="C48" i="221"/>
  <c r="K47" i="221"/>
  <c r="I47" i="221"/>
  <c r="G47" i="221"/>
  <c r="E47" i="221"/>
  <c r="C47" i="221"/>
  <c r="K43" i="221"/>
  <c r="I43" i="221"/>
  <c r="G43" i="221"/>
  <c r="E43" i="221"/>
  <c r="C43" i="221"/>
  <c r="G38" i="221"/>
  <c r="K37" i="221"/>
  <c r="K38" i="221" s="1"/>
  <c r="I37" i="221"/>
  <c r="I38" i="221" s="1"/>
  <c r="E37" i="221"/>
  <c r="E38" i="221" s="1"/>
  <c r="K36" i="221"/>
  <c r="I36" i="221"/>
  <c r="E36" i="221"/>
  <c r="C36" i="221"/>
  <c r="C38" i="221" s="1"/>
  <c r="K34" i="221"/>
  <c r="I34" i="221"/>
  <c r="G34" i="221"/>
  <c r="E34" i="221"/>
  <c r="C34" i="221"/>
  <c r="K30" i="221"/>
  <c r="I30" i="221"/>
  <c r="G30" i="221"/>
  <c r="E30" i="221"/>
  <c r="C30" i="221"/>
  <c r="K25" i="221"/>
  <c r="I25" i="221"/>
  <c r="G25" i="221"/>
  <c r="E25" i="221"/>
  <c r="C25" i="221"/>
  <c r="K21" i="221"/>
  <c r="I21" i="221"/>
  <c r="G21" i="221"/>
  <c r="E21" i="221"/>
  <c r="C21" i="221"/>
  <c r="K15" i="221"/>
  <c r="I15" i="221"/>
  <c r="E15" i="221"/>
  <c r="C15" i="221"/>
  <c r="M9" i="221"/>
  <c r="K9" i="221"/>
  <c r="I9" i="221"/>
  <c r="G9" i="221"/>
  <c r="E9" i="221"/>
  <c r="C9" i="221"/>
  <c r="K103" i="220" l="1"/>
  <c r="I103" i="220"/>
  <c r="G103" i="220"/>
  <c r="E103" i="220"/>
  <c r="C103" i="220"/>
  <c r="K94" i="220"/>
  <c r="I94" i="220"/>
  <c r="I88" i="220" s="1"/>
  <c r="E94" i="220"/>
  <c r="M9" i="220"/>
  <c r="K9" i="220"/>
  <c r="I9" i="220"/>
  <c r="G9" i="220"/>
  <c r="E9" i="220"/>
  <c r="C9" i="220"/>
  <c r="I84" i="220" l="1"/>
  <c r="I86" i="220"/>
  <c r="K66" i="219"/>
  <c r="I66" i="219"/>
  <c r="G66" i="219"/>
  <c r="E66" i="219"/>
  <c r="C66" i="219"/>
  <c r="K57" i="219"/>
  <c r="I57" i="219"/>
  <c r="G57" i="219"/>
  <c r="E57" i="219"/>
  <c r="C57" i="219"/>
  <c r="I50" i="219"/>
  <c r="I48" i="219"/>
  <c r="I46" i="219"/>
  <c r="M9" i="219"/>
  <c r="K9" i="219"/>
  <c r="I9" i="219"/>
  <c r="G9" i="219"/>
  <c r="E9" i="219"/>
  <c r="C9" i="219"/>
  <c r="M9" i="218" l="1"/>
  <c r="K9" i="218"/>
  <c r="I9" i="218"/>
  <c r="G9" i="218"/>
  <c r="E9" i="218"/>
  <c r="C9" i="218"/>
  <c r="M9" i="217" l="1"/>
  <c r="K9" i="217"/>
  <c r="I9" i="217"/>
  <c r="G9" i="217"/>
  <c r="E9" i="217"/>
  <c r="C9" i="217"/>
  <c r="M9" i="216" l="1"/>
  <c r="K9" i="216"/>
  <c r="I9" i="216"/>
  <c r="G9" i="216"/>
  <c r="E9" i="216"/>
  <c r="C9" i="216"/>
  <c r="M9" i="215" l="1"/>
  <c r="K9" i="215"/>
  <c r="I9" i="215"/>
  <c r="G9" i="215"/>
  <c r="E9" i="215"/>
  <c r="C9" i="215"/>
  <c r="M9" i="214" l="1"/>
  <c r="K9" i="214"/>
  <c r="I9" i="214"/>
  <c r="G9" i="214"/>
  <c r="E9" i="214"/>
  <c r="C9" i="214"/>
</calcChain>
</file>

<file path=xl/comments1.xml><?xml version="1.0" encoding="utf-8"?>
<comments xmlns="http://schemas.openxmlformats.org/spreadsheetml/2006/main">
  <authors>
    <author>Hughes, Shaun</author>
  </authors>
  <commentList>
    <comment ref="K42" authorId="0" shapeId="0">
      <text>
        <r>
          <rPr>
            <b/>
            <sz val="9"/>
            <color indexed="81"/>
            <rFont val="Tahoma"/>
            <family val="2"/>
          </rPr>
          <t>Hughes, Shaun:</t>
        </r>
        <r>
          <rPr>
            <sz val="9"/>
            <color indexed="81"/>
            <rFont val="Tahoma"/>
            <family val="2"/>
          </rPr>
          <t xml:space="preserve">
Excludes 33 Sandy Blue Acres 125030.</t>
        </r>
      </text>
    </comment>
    <comment ref="K46" authorId="0" shapeId="0">
      <text>
        <r>
          <rPr>
            <b/>
            <sz val="9"/>
            <color indexed="81"/>
            <rFont val="Tahoma"/>
            <family val="2"/>
          </rPr>
          <t>Hughes, Shaun:</t>
        </r>
        <r>
          <rPr>
            <sz val="9"/>
            <color indexed="81"/>
            <rFont val="Tahoma"/>
            <family val="2"/>
          </rPr>
          <t xml:space="preserve">
Excludes 33 Sandy Blue Acres 125030.</t>
        </r>
      </text>
    </comment>
    <comment ref="K48" authorId="0" shapeId="0">
      <text>
        <r>
          <rPr>
            <b/>
            <sz val="9"/>
            <color indexed="81"/>
            <rFont val="Tahoma"/>
            <family val="2"/>
          </rPr>
          <t>Hughes, Shaun:</t>
        </r>
        <r>
          <rPr>
            <sz val="9"/>
            <color indexed="81"/>
            <rFont val="Tahoma"/>
            <family val="2"/>
          </rPr>
          <t xml:space="preserve">
Pending 20 FTE. </t>
        </r>
      </text>
    </comment>
  </commentList>
</comments>
</file>

<file path=xl/comments2.xml><?xml version="1.0" encoding="utf-8"?>
<comments xmlns="http://schemas.openxmlformats.org/spreadsheetml/2006/main">
  <authors>
    <author>Desmond Webb</author>
  </authors>
  <commentList>
    <comment ref="C20" authorId="0" shapeId="0">
      <text>
        <r>
          <rPr>
            <b/>
            <sz val="9"/>
            <color indexed="81"/>
            <rFont val="Tahoma"/>
            <family val="2"/>
          </rPr>
          <t>Desmond Webb:</t>
        </r>
        <r>
          <rPr>
            <sz val="9"/>
            <color indexed="81"/>
            <rFont val="Tahoma"/>
            <family val="2"/>
          </rPr>
          <t xml:space="preserve">
Plug</t>
        </r>
      </text>
    </comment>
    <comment ref="E30" authorId="0" shapeId="0">
      <text>
        <r>
          <rPr>
            <b/>
            <sz val="9"/>
            <color indexed="81"/>
            <rFont val="Tahoma"/>
            <family val="2"/>
          </rPr>
          <t>Desmond Webb:</t>
        </r>
        <r>
          <rPr>
            <sz val="9"/>
            <color indexed="81"/>
            <rFont val="Tahoma"/>
            <family val="2"/>
          </rPr>
          <t xml:space="preserve">
From Forecast packet</t>
        </r>
      </text>
    </comment>
    <comment ref="G30" authorId="0" shapeId="0">
      <text>
        <r>
          <rPr>
            <b/>
            <sz val="9"/>
            <color indexed="81"/>
            <rFont val="Tahoma"/>
            <family val="2"/>
          </rPr>
          <t>Desmond Webb:</t>
        </r>
        <r>
          <rPr>
            <sz val="9"/>
            <color indexed="81"/>
            <rFont val="Tahoma"/>
            <family val="2"/>
          </rPr>
          <t xml:space="preserve">
From Forecast packet</t>
        </r>
      </text>
    </comment>
    <comment ref="I30" authorId="0" shapeId="0">
      <text>
        <r>
          <rPr>
            <b/>
            <sz val="9"/>
            <color indexed="81"/>
            <rFont val="Tahoma"/>
            <family val="2"/>
          </rPr>
          <t>Desmond Webb:</t>
        </r>
        <r>
          <rPr>
            <sz val="9"/>
            <color indexed="81"/>
            <rFont val="Tahoma"/>
            <family val="2"/>
          </rPr>
          <t xml:space="preserve">
From Forecast packet</t>
        </r>
      </text>
    </comment>
    <comment ref="K30" authorId="0" shapeId="0">
      <text>
        <r>
          <rPr>
            <b/>
            <sz val="9"/>
            <color indexed="81"/>
            <rFont val="Tahoma"/>
            <family val="2"/>
          </rPr>
          <t>Desmond Webb:</t>
        </r>
        <r>
          <rPr>
            <sz val="9"/>
            <color indexed="81"/>
            <rFont val="Tahoma"/>
            <family val="2"/>
          </rPr>
          <t xml:space="preserve">
From Forecast packet</t>
        </r>
      </text>
    </comment>
    <comment ref="E31" authorId="0" shapeId="0">
      <text>
        <r>
          <rPr>
            <b/>
            <sz val="9"/>
            <color indexed="81"/>
            <rFont val="Tahoma"/>
            <family val="2"/>
          </rPr>
          <t>Desmond Webb:</t>
        </r>
        <r>
          <rPr>
            <sz val="9"/>
            <color indexed="81"/>
            <rFont val="Tahoma"/>
            <family val="2"/>
          </rPr>
          <t xml:space="preserve">
From Forecast Packet</t>
        </r>
      </text>
    </comment>
    <comment ref="G31" authorId="0" shapeId="0">
      <text>
        <r>
          <rPr>
            <b/>
            <sz val="9"/>
            <color indexed="81"/>
            <rFont val="Tahoma"/>
            <family val="2"/>
          </rPr>
          <t>Desmond Webb:</t>
        </r>
        <r>
          <rPr>
            <sz val="9"/>
            <color indexed="81"/>
            <rFont val="Tahoma"/>
            <family val="2"/>
          </rPr>
          <t xml:space="preserve">
From Forecast Packet</t>
        </r>
      </text>
    </comment>
    <comment ref="I31" authorId="0" shapeId="0">
      <text>
        <r>
          <rPr>
            <b/>
            <sz val="9"/>
            <color indexed="81"/>
            <rFont val="Tahoma"/>
            <family val="2"/>
          </rPr>
          <t>Desmond Webb:</t>
        </r>
        <r>
          <rPr>
            <sz val="9"/>
            <color indexed="81"/>
            <rFont val="Tahoma"/>
            <family val="2"/>
          </rPr>
          <t xml:space="preserve">
From Forecast Packet</t>
        </r>
      </text>
    </comment>
    <comment ref="K31" authorId="0" shapeId="0">
      <text>
        <r>
          <rPr>
            <b/>
            <sz val="9"/>
            <color indexed="81"/>
            <rFont val="Tahoma"/>
            <family val="2"/>
          </rPr>
          <t>Desmond Webb:</t>
        </r>
        <r>
          <rPr>
            <sz val="9"/>
            <color indexed="81"/>
            <rFont val="Tahoma"/>
            <family val="2"/>
          </rPr>
          <t xml:space="preserve">
From Forecast Packet</t>
        </r>
      </text>
    </comment>
    <comment ref="E32" authorId="0" shapeId="0">
      <text>
        <r>
          <rPr>
            <b/>
            <sz val="9"/>
            <color indexed="81"/>
            <rFont val="Tahoma"/>
            <family val="2"/>
          </rPr>
          <t>Desmond Webb:</t>
        </r>
        <r>
          <rPr>
            <sz val="9"/>
            <color indexed="81"/>
            <rFont val="Tahoma"/>
            <family val="2"/>
          </rPr>
          <t xml:space="preserve">
From Forecast Packet</t>
        </r>
      </text>
    </comment>
    <comment ref="G32" authorId="0" shapeId="0">
      <text>
        <r>
          <rPr>
            <b/>
            <sz val="9"/>
            <color indexed="81"/>
            <rFont val="Tahoma"/>
            <family val="2"/>
          </rPr>
          <t>Desmond Webb:</t>
        </r>
        <r>
          <rPr>
            <sz val="9"/>
            <color indexed="81"/>
            <rFont val="Tahoma"/>
            <family val="2"/>
          </rPr>
          <t xml:space="preserve">
From Forecast Packet</t>
        </r>
      </text>
    </comment>
    <comment ref="I32" authorId="0" shapeId="0">
      <text>
        <r>
          <rPr>
            <b/>
            <sz val="9"/>
            <color indexed="81"/>
            <rFont val="Tahoma"/>
            <family val="2"/>
          </rPr>
          <t>Desmond Webb:</t>
        </r>
        <r>
          <rPr>
            <sz val="9"/>
            <color indexed="81"/>
            <rFont val="Tahoma"/>
            <family val="2"/>
          </rPr>
          <t xml:space="preserve">
From Forecast Packet</t>
        </r>
      </text>
    </comment>
    <comment ref="K32" authorId="0" shapeId="0">
      <text>
        <r>
          <rPr>
            <b/>
            <sz val="9"/>
            <color indexed="81"/>
            <rFont val="Tahoma"/>
            <family val="2"/>
          </rPr>
          <t>Desmond Webb:</t>
        </r>
        <r>
          <rPr>
            <sz val="9"/>
            <color indexed="81"/>
            <rFont val="Tahoma"/>
            <family val="2"/>
          </rPr>
          <t xml:space="preserve">
From Forecast Packet</t>
        </r>
      </text>
    </comment>
    <comment ref="C33" authorId="0" shapeId="0">
      <text>
        <r>
          <rPr>
            <b/>
            <sz val="9"/>
            <color indexed="81"/>
            <rFont val="Tahoma"/>
            <family val="2"/>
          </rPr>
          <t>Desmond Webb:</t>
        </r>
        <r>
          <rPr>
            <sz val="9"/>
            <color indexed="81"/>
            <rFont val="Tahoma"/>
            <family val="2"/>
          </rPr>
          <t xml:space="preserve">
must tie to packet. GF is the plug</t>
        </r>
      </text>
    </comment>
    <comment ref="G34" authorId="0" shapeId="0">
      <text>
        <r>
          <rPr>
            <b/>
            <sz val="9"/>
            <color indexed="81"/>
            <rFont val="Tahoma"/>
            <family val="2"/>
          </rPr>
          <t>Desmond Webb:</t>
        </r>
        <r>
          <rPr>
            <sz val="9"/>
            <color indexed="81"/>
            <rFont val="Tahoma"/>
            <family val="2"/>
          </rPr>
          <t xml:space="preserve">
Must tie to DB</t>
        </r>
      </text>
    </comment>
    <comment ref="I34" authorId="0" shapeId="0">
      <text>
        <r>
          <rPr>
            <b/>
            <sz val="9"/>
            <color indexed="81"/>
            <rFont val="Tahoma"/>
            <family val="2"/>
          </rPr>
          <t>Desmond Webb:</t>
        </r>
        <r>
          <rPr>
            <sz val="9"/>
            <color indexed="81"/>
            <rFont val="Tahoma"/>
            <family val="2"/>
          </rPr>
          <t xml:space="preserve">
Must tie to DB</t>
        </r>
      </text>
    </comment>
    <comment ref="K34" authorId="0" shapeId="0">
      <text>
        <r>
          <rPr>
            <b/>
            <sz val="9"/>
            <color indexed="81"/>
            <rFont val="Tahoma"/>
            <family val="2"/>
          </rPr>
          <t>Desmond Webb:</t>
        </r>
        <r>
          <rPr>
            <sz val="9"/>
            <color indexed="81"/>
            <rFont val="Tahoma"/>
            <family val="2"/>
          </rPr>
          <t xml:space="preserve">
Must tie to DB</t>
        </r>
      </text>
    </comment>
    <comment ref="C51" authorId="0" shapeId="0">
      <text>
        <r>
          <rPr>
            <b/>
            <sz val="9"/>
            <color indexed="81"/>
            <rFont val="Tahoma"/>
            <family val="2"/>
          </rPr>
          <t>Desmond Webb:</t>
        </r>
        <r>
          <rPr>
            <sz val="9"/>
            <color indexed="81"/>
            <rFont val="Tahoma"/>
            <family val="2"/>
          </rPr>
          <t xml:space="preserve">
From CFS</t>
        </r>
      </text>
    </comment>
    <comment ref="E51" authorId="0" shapeId="0">
      <text>
        <r>
          <rPr>
            <b/>
            <sz val="9"/>
            <color indexed="81"/>
            <rFont val="Tahoma"/>
            <family val="2"/>
          </rPr>
          <t>Desmond Webb:</t>
        </r>
        <r>
          <rPr>
            <sz val="9"/>
            <color indexed="81"/>
            <rFont val="Tahoma"/>
            <family val="2"/>
          </rPr>
          <t xml:space="preserve">
From Forecast packet</t>
        </r>
      </text>
    </comment>
    <comment ref="G51" authorId="0" shapeId="0">
      <text>
        <r>
          <rPr>
            <b/>
            <sz val="9"/>
            <color indexed="81"/>
            <rFont val="Tahoma"/>
            <family val="2"/>
          </rPr>
          <t>Desmond Webb:</t>
        </r>
        <r>
          <rPr>
            <sz val="9"/>
            <color indexed="81"/>
            <rFont val="Tahoma"/>
            <family val="2"/>
          </rPr>
          <t xml:space="preserve">
From Forecast packet</t>
        </r>
      </text>
    </comment>
    <comment ref="I51" authorId="0" shapeId="0">
      <text>
        <r>
          <rPr>
            <b/>
            <sz val="9"/>
            <color indexed="81"/>
            <rFont val="Tahoma"/>
            <family val="2"/>
          </rPr>
          <t>Desmond Webb:</t>
        </r>
        <r>
          <rPr>
            <sz val="9"/>
            <color indexed="81"/>
            <rFont val="Tahoma"/>
            <family val="2"/>
          </rPr>
          <t xml:space="preserve">
From Forecast packet</t>
        </r>
      </text>
    </comment>
    <comment ref="K51" authorId="0" shapeId="0">
      <text>
        <r>
          <rPr>
            <b/>
            <sz val="9"/>
            <color indexed="81"/>
            <rFont val="Tahoma"/>
            <family val="2"/>
          </rPr>
          <t>Desmond Webb:</t>
        </r>
        <r>
          <rPr>
            <sz val="9"/>
            <color indexed="81"/>
            <rFont val="Tahoma"/>
            <family val="2"/>
          </rPr>
          <t xml:space="preserve">
From Forecast packet</t>
        </r>
      </text>
    </comment>
    <comment ref="C53" authorId="0" shapeId="0">
      <text>
        <r>
          <rPr>
            <b/>
            <sz val="9"/>
            <color indexed="81"/>
            <rFont val="Tahoma"/>
            <family val="2"/>
          </rPr>
          <t>Desmond Webb:</t>
        </r>
        <r>
          <rPr>
            <sz val="9"/>
            <color indexed="81"/>
            <rFont val="Tahoma"/>
            <family val="2"/>
          </rPr>
          <t xml:space="preserve">
first number is from req/rec</t>
        </r>
      </text>
    </comment>
    <comment ref="E53" authorId="0" shapeId="0">
      <text>
        <r>
          <rPr>
            <b/>
            <sz val="9"/>
            <color indexed="81"/>
            <rFont val="Tahoma"/>
            <family val="2"/>
          </rPr>
          <t>Desmond Webb:</t>
        </r>
        <r>
          <rPr>
            <sz val="9"/>
            <color indexed="81"/>
            <rFont val="Tahoma"/>
            <family val="2"/>
          </rPr>
          <t xml:space="preserve">
first number is from req/rec</t>
        </r>
      </text>
    </comment>
    <comment ref="K53" authorId="0" shapeId="0">
      <text>
        <r>
          <rPr>
            <b/>
            <sz val="9"/>
            <color indexed="81"/>
            <rFont val="Tahoma"/>
            <family val="2"/>
          </rPr>
          <t>Desmond Webb:</t>
        </r>
        <r>
          <rPr>
            <sz val="9"/>
            <color indexed="81"/>
            <rFont val="Tahoma"/>
            <family val="2"/>
          </rPr>
          <t xml:space="preserve">
equals Senior Gold's recommended amount less the $2,850 transfer *1000</t>
        </r>
      </text>
    </comment>
  </commentList>
</comments>
</file>

<file path=xl/comments3.xml><?xml version="1.0" encoding="utf-8"?>
<comments xmlns="http://schemas.openxmlformats.org/spreadsheetml/2006/main">
  <authors>
    <author>Rebecca Miller</author>
  </authors>
  <commentList>
    <comment ref="A59" authorId="0" shapeId="0">
      <text>
        <r>
          <rPr>
            <b/>
            <sz val="9"/>
            <color indexed="81"/>
            <rFont val="Tahoma"/>
            <family val="2"/>
          </rPr>
          <t>Rebecca Miller:</t>
        </r>
        <r>
          <rPr>
            <sz val="9"/>
            <color indexed="81"/>
            <rFont val="Tahoma"/>
            <family val="2"/>
          </rPr>
          <t xml:space="preserve">
Leave &lt;SP&gt; marks. This adds the required amount of spaces on the Printer Sheet.</t>
        </r>
      </text>
    </comment>
  </commentList>
</comments>
</file>

<file path=xl/sharedStrings.xml><?xml version="1.0" encoding="utf-8"?>
<sst xmlns="http://schemas.openxmlformats.org/spreadsheetml/2006/main" count="9523" uniqueCount="3083">
  <si>
    <t>Direct State Services</t>
  </si>
  <si>
    <t>Management and Administration</t>
  </si>
  <si>
    <t>Agricultural Resources, Planning, and Regulation</t>
  </si>
  <si>
    <t>Economic Regulation</t>
  </si>
  <si>
    <t>Social Services Programs</t>
  </si>
  <si>
    <t>Community Development Management</t>
  </si>
  <si>
    <t>State Subsidies and Financial Aid</t>
  </si>
  <si>
    <t>Detention and Rehabilitation</t>
  </si>
  <si>
    <t>System-Wide Program Support</t>
  </si>
  <si>
    <t>Parole</t>
  </si>
  <si>
    <t>State</t>
  </si>
  <si>
    <t>Direct Educational Services and Assistance</t>
  </si>
  <si>
    <t>Operation and Support of Educational Institutions</t>
  </si>
  <si>
    <t>Supplemental Education and Training Programs</t>
  </si>
  <si>
    <t>Educational Support Services</t>
  </si>
  <si>
    <t>34-34</t>
  </si>
  <si>
    <t>Education Administration and Management</t>
  </si>
  <si>
    <t>Natural Resource Management</t>
  </si>
  <si>
    <t>Science and Technical Programs</t>
  </si>
  <si>
    <t>Site Remediation and Waste Management</t>
  </si>
  <si>
    <t>Environmental Regulation</t>
  </si>
  <si>
    <t>Environmental Planning and Administration</t>
  </si>
  <si>
    <t>Compliance and Enforcement</t>
  </si>
  <si>
    <t>Health Services</t>
  </si>
  <si>
    <t>Health Planning and Evaluation</t>
  </si>
  <si>
    <t>Mental Health Services</t>
  </si>
  <si>
    <t>Division of Mental Health Services</t>
  </si>
  <si>
    <t>Division of Medical Assistance and Health Services</t>
  </si>
  <si>
    <t>Aging Services</t>
  </si>
  <si>
    <t>Division of Disability Services</t>
  </si>
  <si>
    <t>Community Programs</t>
  </si>
  <si>
    <t>Commission for the Blind and Visually Impaired</t>
  </si>
  <si>
    <t>Economic Assistance and Security</t>
  </si>
  <si>
    <t>Division of Family Development</t>
  </si>
  <si>
    <t>Division of the Deaf and Hard of Hearing</t>
  </si>
  <si>
    <t>Manpower and Employment Services</t>
  </si>
  <si>
    <t>General Government Services</t>
  </si>
  <si>
    <t>Law Enforcement</t>
  </si>
  <si>
    <t>Special Law Enforcement Activities</t>
  </si>
  <si>
    <t>Juvenile Services</t>
  </si>
  <si>
    <t>Protection of Citizens' Rights</t>
  </si>
  <si>
    <t>Military Services</t>
  </si>
  <si>
    <t>Veterans' Program Support</t>
  </si>
  <si>
    <t>Menlo Park Veterans' Memorial Home</t>
  </si>
  <si>
    <t>Paramus Veterans' Memorial Home</t>
  </si>
  <si>
    <t>Vineland Veterans' Memorial Home</t>
  </si>
  <si>
    <t>Higher Educational Services</t>
  </si>
  <si>
    <t>Higher Education Student Assistance Authority</t>
  </si>
  <si>
    <t>Rutgers, The State University</t>
  </si>
  <si>
    <t>Agricultural Experiment Station</t>
  </si>
  <si>
    <t>Rutgers University - Camden</t>
  </si>
  <si>
    <t>Rutgers University - Newark</t>
  </si>
  <si>
    <t>University Hospital</t>
  </si>
  <si>
    <t>New Jersey Institute of Technology</t>
  </si>
  <si>
    <t>Thomas A. Edison State College</t>
  </si>
  <si>
    <t>Rowan University</t>
  </si>
  <si>
    <t>New Jersey City University</t>
  </si>
  <si>
    <t>Kean University</t>
  </si>
  <si>
    <t>William Paterson University of New Jersey</t>
  </si>
  <si>
    <t>The College of New Jersey</t>
  </si>
  <si>
    <t>Ramapo College of New Jersey</t>
  </si>
  <si>
    <t>Stockton University</t>
  </si>
  <si>
    <t>Cultural and Intellectual Development Services</t>
  </si>
  <si>
    <t>Division of State Library</t>
  </si>
  <si>
    <t>Vehicular Safety</t>
  </si>
  <si>
    <t>State and Local Highway Facilities</t>
  </si>
  <si>
    <t>Public Transportation</t>
  </si>
  <si>
    <t>Governmental Review and Oversight</t>
  </si>
  <si>
    <t>Financial Administration</t>
  </si>
  <si>
    <t>Office of Administrative Law</t>
  </si>
  <si>
    <t>Office of Information Technology</t>
  </si>
  <si>
    <t>Corrections Ombudsperson</t>
  </si>
  <si>
    <t>Division of Elder Advocacy</t>
  </si>
  <si>
    <t>Division of Rate Counsel</t>
  </si>
  <si>
    <t>Employee Benefits</t>
  </si>
  <si>
    <t>The Judiciary</t>
  </si>
  <si>
    <t>Judicial Services</t>
  </si>
  <si>
    <t>Revolving Funds</t>
  </si>
  <si>
    <t>Bureau of State Use Industries</t>
  </si>
  <si>
    <t>Bureau of State Farm Operations</t>
  </si>
  <si>
    <t>State Central Motor Pool</t>
  </si>
  <si>
    <t>Distribution Center</t>
  </si>
  <si>
    <t>98-15</t>
  </si>
  <si>
    <t>Interdepartmental Accounts</t>
  </si>
  <si>
    <t>94-74-9410</t>
  </si>
  <si>
    <t>82-82-2098</t>
  </si>
  <si>
    <t>82-82-2097</t>
  </si>
  <si>
    <t>82-82-2096</t>
  </si>
  <si>
    <t>82-82</t>
  </si>
  <si>
    <t>82-75</t>
  </si>
  <si>
    <t>82-74-2057</t>
  </si>
  <si>
    <t>82-74-2052</t>
  </si>
  <si>
    <t>82-74-2034</t>
  </si>
  <si>
    <t>82-74-2026</t>
  </si>
  <si>
    <t>82-74</t>
  </si>
  <si>
    <t>82-73</t>
  </si>
  <si>
    <t>82-72</t>
  </si>
  <si>
    <t>82-52</t>
  </si>
  <si>
    <t>Transportation</t>
  </si>
  <si>
    <t>78-62</t>
  </si>
  <si>
    <t>78-61</t>
  </si>
  <si>
    <t>78-11</t>
  </si>
  <si>
    <t>74-36-2485</t>
  </si>
  <si>
    <t>74-36-2480</t>
  </si>
  <si>
    <t>74-36-2475</t>
  </si>
  <si>
    <t>74-36-2470</t>
  </si>
  <si>
    <t>Montclair State University</t>
  </si>
  <si>
    <t>74-36-2465</t>
  </si>
  <si>
    <t>74-36-2460</t>
  </si>
  <si>
    <t>74-36-2455</t>
  </si>
  <si>
    <t>74-36-2450</t>
  </si>
  <si>
    <t>74-36-2445</t>
  </si>
  <si>
    <t>74-36-2440</t>
  </si>
  <si>
    <t>74-36-2430</t>
  </si>
  <si>
    <t>74-36-2417</t>
  </si>
  <si>
    <t>74-36-2416</t>
  </si>
  <si>
    <t>74-36-2415</t>
  </si>
  <si>
    <t>74-36-2410</t>
  </si>
  <si>
    <t>74-36-2405</t>
  </si>
  <si>
    <t>74-36</t>
  </si>
  <si>
    <t>74-74</t>
  </si>
  <si>
    <t>74-37-2541</t>
  </si>
  <si>
    <t>74-37</t>
  </si>
  <si>
    <t>67-83-3650</t>
  </si>
  <si>
    <t>67-83-3640</t>
  </si>
  <si>
    <t>67-83-3630</t>
  </si>
  <si>
    <t>67-83-3610</t>
  </si>
  <si>
    <t>67-14</t>
  </si>
  <si>
    <t>66-82</t>
  </si>
  <si>
    <t>66-74</t>
  </si>
  <si>
    <t>66-18</t>
  </si>
  <si>
    <t>66-13</t>
  </si>
  <si>
    <t>66-12</t>
  </si>
  <si>
    <t>62-74</t>
  </si>
  <si>
    <t>62-54</t>
  </si>
  <si>
    <t>62-53</t>
  </si>
  <si>
    <t>54-55-7580</t>
  </si>
  <si>
    <t>54-53-7550</t>
  </si>
  <si>
    <t>54-33-7560</t>
  </si>
  <si>
    <t>54-32-7601</t>
  </si>
  <si>
    <t>54-32</t>
  </si>
  <si>
    <t>54-27-7545</t>
  </si>
  <si>
    <t>54-26</t>
  </si>
  <si>
    <t>54-24-7540</t>
  </si>
  <si>
    <t>46-22</t>
  </si>
  <si>
    <t>46-21</t>
  </si>
  <si>
    <t>42-47</t>
  </si>
  <si>
    <t>42-46</t>
  </si>
  <si>
    <t>42-45</t>
  </si>
  <si>
    <t>42-44</t>
  </si>
  <si>
    <t>42-43</t>
  </si>
  <si>
    <t>42-42</t>
  </si>
  <si>
    <t>34-35</t>
  </si>
  <si>
    <t>34-33</t>
  </si>
  <si>
    <t>34-32</t>
  </si>
  <si>
    <t>34-31</t>
  </si>
  <si>
    <t>26-17</t>
  </si>
  <si>
    <t>26-16-7030</t>
  </si>
  <si>
    <t>26-16-7025</t>
  </si>
  <si>
    <t>26-16-7020</t>
  </si>
  <si>
    <t>26-16</t>
  </si>
  <si>
    <t>22-76</t>
  </si>
  <si>
    <t>22-75</t>
  </si>
  <si>
    <t>22-55</t>
  </si>
  <si>
    <t>22-41</t>
  </si>
  <si>
    <t>16-55</t>
  </si>
  <si>
    <t>14-52</t>
  </si>
  <si>
    <t>10-49</t>
  </si>
  <si>
    <t>Department</t>
  </si>
  <si>
    <t>Description</t>
  </si>
  <si>
    <t>Key</t>
  </si>
  <si>
    <t>GoTo Index</t>
  </si>
  <si>
    <t>46-23</t>
  </si>
  <si>
    <t>46-23-4290</t>
  </si>
  <si>
    <t>Fiscal Year:</t>
  </si>
  <si>
    <t>Fund Category:</t>
  </si>
  <si>
    <t>DSS</t>
  </si>
  <si>
    <t>Department:</t>
  </si>
  <si>
    <t>01</t>
  </si>
  <si>
    <t>Legislature</t>
  </si>
  <si>
    <t>Statewide Program:</t>
  </si>
  <si>
    <t>71</t>
  </si>
  <si>
    <t>Legislative Activities</t>
  </si>
  <si>
    <t>Organization:</t>
  </si>
  <si>
    <t>0001</t>
  </si>
  <si>
    <t>Senate</t>
  </si>
  <si>
    <t>Number of Columns:</t>
  </si>
  <si>
    <t>Budget</t>
  </si>
  <si>
    <t>Actual</t>
  </si>
  <si>
    <t>F</t>
  </si>
  <si>
    <t>Budgeted</t>
  </si>
  <si>
    <t>Revised</t>
  </si>
  <si>
    <t>Estimate</t>
  </si>
  <si>
    <t>N</t>
  </si>
  <si>
    <t>PERSONNEL DATA</t>
  </si>
  <si>
    <t>Position Data</t>
  </si>
  <si>
    <t>Filled positions by funding source</t>
  </si>
  <si>
    <t>State supported</t>
  </si>
  <si>
    <t>Total positions</t>
  </si>
  <si>
    <t>Filled positions by program class</t>
  </si>
  <si>
    <t>Notes:</t>
  </si>
  <si>
    <t>Actual payroll counts are reported for fiscal years 2016 and 2017 as of December and revised fiscal 2018 as of January.  Not included are the 40 Senators and part-time positions.  The funded position count for fiscal 2019 will be determined by the Legislature.</t>
  </si>
  <si>
    <t>0002</t>
  </si>
  <si>
    <t>General Assembly</t>
  </si>
  <si>
    <t>Actual payroll counts are reported for fiscal years 2016 and 2017 as of December and revised fiscal 2018 as of January.  Not included are the 80 State Assemblypersons and part-time positions.  The funded position count for fiscal 2019 will be determined by the Legislature.</t>
  </si>
  <si>
    <t>0003</t>
  </si>
  <si>
    <t>Office of Legislative Services</t>
  </si>
  <si>
    <t>Legislative Support Services</t>
  </si>
  <si>
    <r>
      <t xml:space="preserve"> Actual payroll counts are reported for fiscal years 2016 and 2017 as of December and revised fiscal 2018 as of January</t>
    </r>
    <r>
      <rPr>
        <b/>
        <sz val="10"/>
        <rFont val="Arial"/>
        <family val="2"/>
      </rPr>
      <t>.</t>
    </r>
    <r>
      <rPr>
        <sz val="10"/>
        <rFont val="Arial"/>
        <family val="2"/>
      </rPr>
      <t xml:space="preserve">  The funded position count for fiscal 2019 will be determined by the Legislature.</t>
    </r>
  </si>
  <si>
    <t>77</t>
  </si>
  <si>
    <t>Legislative Commissions and Committees</t>
  </si>
  <si>
    <t/>
  </si>
  <si>
    <t>Legislative Commissions</t>
  </si>
  <si>
    <t>Actual payroll counts are reported for fiscal years 2016 and 2017 as of December and revised fiscal 2018 as of January.  The funded position count for fiscal 2019 will be determined by the Legislature.</t>
  </si>
  <si>
    <t>06</t>
  </si>
  <si>
    <t>Chief Executive</t>
  </si>
  <si>
    <t>76</t>
  </si>
  <si>
    <t>Executive Management</t>
  </si>
  <si>
    <t>Actual payroll counts are reported for fiscal years 2016 and 2017 as of December and revised fiscal 2018 as of January.  The budget estimate for fiscal 2019 reflects the number of positions funded.</t>
  </si>
  <si>
    <t>10</t>
  </si>
  <si>
    <t>Department Of Agriculture</t>
  </si>
  <si>
    <t>49</t>
  </si>
  <si>
    <t>PROGRAM DATA</t>
  </si>
  <si>
    <t>Animal Disease Control</t>
  </si>
  <si>
    <t xml:space="preserve">Regulatory licenses </t>
  </si>
  <si>
    <t xml:space="preserve">General, special and other laboratory exams </t>
  </si>
  <si>
    <t>Plant Pest and Disease Control</t>
  </si>
  <si>
    <t>Nurseries and dealers certified free of plant pests</t>
  </si>
  <si>
    <t>Nursery acreage certified free of plant pests</t>
  </si>
  <si>
    <t>Bee colonies found disease free</t>
  </si>
  <si>
    <t xml:space="preserve">Seed meeting truth in labeling requirements </t>
  </si>
  <si>
    <t xml:space="preserve">Pesticide not applied (lbs.) </t>
  </si>
  <si>
    <t>Forest and crop acreage stabilized biologically</t>
  </si>
  <si>
    <t xml:space="preserve">Major exotic insect and plant disease field surveys </t>
  </si>
  <si>
    <t>Agricultural and Natural Resources</t>
  </si>
  <si>
    <t>Soil and Water Conservation Programs:</t>
  </si>
  <si>
    <t>Land protected from soil erosion and sedimentation (acres)</t>
  </si>
  <si>
    <t>Food and Nutrition Services</t>
  </si>
  <si>
    <t>Emergency food assistance delivered (lbs.)</t>
  </si>
  <si>
    <t>School lunch delivered (lbs.)</t>
  </si>
  <si>
    <t>Marketing and Development Services</t>
  </si>
  <si>
    <t>Agricultural inputs satisfying label guarantees:</t>
  </si>
  <si>
    <t xml:space="preserve">Fertilizer </t>
  </si>
  <si>
    <t>Lime</t>
  </si>
  <si>
    <t>Feed</t>
  </si>
  <si>
    <t>Agricultural commodities inspected and graded (lbs.) (a)</t>
  </si>
  <si>
    <t>Racing mares bred (b)</t>
  </si>
  <si>
    <t>Organic Certification Program:</t>
  </si>
  <si>
    <t>Number of certified operations (producers &amp; handlers)</t>
  </si>
  <si>
    <t>Farmland Preservation</t>
  </si>
  <si>
    <t xml:space="preserve">Cumulative acres permanently preserved </t>
  </si>
  <si>
    <t xml:space="preserve">Cumulative farms permanently preserved </t>
  </si>
  <si>
    <t>Eight-year program-acres preserved</t>
  </si>
  <si>
    <t>County/Municipal financial participation</t>
  </si>
  <si>
    <t>Affirmative Action data</t>
  </si>
  <si>
    <t xml:space="preserve">Male minority </t>
  </si>
  <si>
    <t>Male minority percentage</t>
  </si>
  <si>
    <t>Female minority</t>
  </si>
  <si>
    <t>Female minority percentage</t>
  </si>
  <si>
    <t>Total minority</t>
  </si>
  <si>
    <t>Total minority percentage</t>
  </si>
  <si>
    <t>Federal</t>
  </si>
  <si>
    <t>All other</t>
  </si>
  <si>
    <t>Administration and Support Services</t>
  </si>
  <si>
    <t xml:space="preserve">Actual payroll counts are reported for fiscal years 2016 and 2017 as of December and revised fiscal 2018 as of January. The budget estimate for fiscal 2019 reflects the number of positions funded. </t>
  </si>
  <si>
    <t>(a) In fiscal 2017, there was an increase in commodities inspections conducted by the United States Department of Agriculture and a decrease in licensees resulting in a reduced number of inspections and grading, respectively, conducted by the NJ Department of Agriculture.</t>
  </si>
  <si>
    <t>(b) The introduction of a trotting sire in fiscal 2017 and a trotting stallion in fiscal 2018 resulted in an increase to the fiscal 2017 actual and fiscal 2018 estimate.</t>
  </si>
  <si>
    <t>14</t>
  </si>
  <si>
    <t>Department Of Banking And Insurance</t>
  </si>
  <si>
    <t>52</t>
  </si>
  <si>
    <t>Consumer Protection Services and Solvency Regulation</t>
  </si>
  <si>
    <t>Consumer credit associations - banking</t>
  </si>
  <si>
    <t>Licenses issued</t>
  </si>
  <si>
    <t xml:space="preserve">Mortgage loan originators </t>
  </si>
  <si>
    <t>Associations subject to examination</t>
  </si>
  <si>
    <t>Examinations conducted</t>
  </si>
  <si>
    <t>Phone inquiries handled</t>
  </si>
  <si>
    <t>Consumer complaints</t>
  </si>
  <si>
    <t>Received</t>
  </si>
  <si>
    <t>Completed</t>
  </si>
  <si>
    <t>Consumer assistance unit</t>
  </si>
  <si>
    <t>Insurance licensing</t>
  </si>
  <si>
    <t>Candidates examined</t>
  </si>
  <si>
    <t>Number of insurance companies and regulated entities</t>
  </si>
  <si>
    <t>Field financial exams</t>
  </si>
  <si>
    <t>Office analysis of companies - examinations</t>
  </si>
  <si>
    <t>Insurance consumer assistance</t>
  </si>
  <si>
    <t>Complaints received</t>
  </si>
  <si>
    <t>Complaints resolved</t>
  </si>
  <si>
    <t>Market analysis of companies</t>
  </si>
  <si>
    <t>(a)</t>
  </si>
  <si>
    <t>Companies' data audited</t>
  </si>
  <si>
    <t>Funds recovered on behalf of complaintants</t>
  </si>
  <si>
    <t>Actuarial Services</t>
  </si>
  <si>
    <t>Property and Casualty</t>
  </si>
  <si>
    <t>Filings for unit</t>
  </si>
  <si>
    <t xml:space="preserve">Surveys </t>
  </si>
  <si>
    <t>Record requests</t>
  </si>
  <si>
    <t>Complaints/inquiries</t>
  </si>
  <si>
    <t>Life and Health</t>
  </si>
  <si>
    <t>Policy forms processed</t>
  </si>
  <si>
    <t>Inquiries to unit</t>
  </si>
  <si>
    <t>Office of Managed Care</t>
  </si>
  <si>
    <t>Complaints/inquiries received</t>
  </si>
  <si>
    <t>Complaints/inquires resolved</t>
  </si>
  <si>
    <t>Independent Utilization Review Organization</t>
  </si>
  <si>
    <t>Eligible/forwarded requests</t>
  </si>
  <si>
    <t>Ineligible/returned requests</t>
  </si>
  <si>
    <t>Regulation of the Real Estate Industry</t>
  </si>
  <si>
    <t>Licensed brokers and salespersons</t>
  </si>
  <si>
    <t>Broker offices</t>
  </si>
  <si>
    <t>Offices inspected</t>
  </si>
  <si>
    <t>Complaints investigated</t>
  </si>
  <si>
    <t>Licensed schools</t>
  </si>
  <si>
    <t>Licensed instructors</t>
  </si>
  <si>
    <t>Bureau of Fraud Deterrence</t>
  </si>
  <si>
    <t>Civil fines imposed</t>
  </si>
  <si>
    <t>Office of Insurance Fraud Prosecutor (b)</t>
  </si>
  <si>
    <t>Restitution of fraudulently obtained dollars (c)</t>
  </si>
  <si>
    <t xml:space="preserve">Type of cases investigated </t>
  </si>
  <si>
    <t>Auto</t>
  </si>
  <si>
    <t>Health</t>
  </si>
  <si>
    <t>Workers' compensation</t>
  </si>
  <si>
    <t>Homeowners</t>
  </si>
  <si>
    <t xml:space="preserve">Commercial  </t>
  </si>
  <si>
    <t>New matters received</t>
  </si>
  <si>
    <t>Matters closed</t>
  </si>
  <si>
    <t>Supervision and Examination of Financial Institutions</t>
  </si>
  <si>
    <t>State-chartered institutions</t>
  </si>
  <si>
    <t>Banks and savings and loans</t>
  </si>
  <si>
    <t>Bank holding companies</t>
  </si>
  <si>
    <t>Specialty examinations</t>
  </si>
  <si>
    <t>Male minority</t>
  </si>
  <si>
    <t xml:space="preserve">All other </t>
  </si>
  <si>
    <t>Public Affairs, Legislative and Regulatory Services</t>
  </si>
  <si>
    <t xml:space="preserve">Administration and Support Services </t>
  </si>
  <si>
    <t>(a) Beginning in fiscal 2017, data reflects new national Market Regulation Accreditation Standards for market analysis established by the National Association of Insurance Commissioners (NAIC).</t>
  </si>
  <si>
    <t>(b) Data provided by the Office of the Insurance Fraud Prosecutor within the Department of Law and Public Safety.</t>
  </si>
  <si>
    <t>(c) Includes both civil Medicaid and criminal restitution.</t>
  </si>
  <si>
    <t>16</t>
  </si>
  <si>
    <t>Department Of Children And Families</t>
  </si>
  <si>
    <t>55</t>
  </si>
  <si>
    <t>Education Services</t>
  </si>
  <si>
    <r>
      <t xml:space="preserve">Average enrollment </t>
    </r>
    <r>
      <rPr>
        <vertAlign val="superscript"/>
        <sz val="10"/>
        <rFont val="Arial"/>
        <family val="2"/>
      </rPr>
      <t>(a)</t>
    </r>
  </si>
  <si>
    <t>Child Protection and Permanency</t>
  </si>
  <si>
    <t>Active children receiving CP&amp;P services (unduplicated)</t>
  </si>
  <si>
    <t>CP&amp;P Family Support services</t>
  </si>
  <si>
    <t>Emergency services</t>
  </si>
  <si>
    <t>Case Management services</t>
  </si>
  <si>
    <t>Assessment services</t>
  </si>
  <si>
    <t>Parent Services</t>
  </si>
  <si>
    <t>Total Family Support services program cost</t>
  </si>
  <si>
    <t xml:space="preserve"> </t>
  </si>
  <si>
    <t xml:space="preserve">Adoption Subsidies </t>
  </si>
  <si>
    <t>Average daily population</t>
  </si>
  <si>
    <t>Subsidy cost</t>
  </si>
  <si>
    <t>Average annual cost per client</t>
  </si>
  <si>
    <t xml:space="preserve">Foster Care </t>
  </si>
  <si>
    <t xml:space="preserve">Kinship Legal Guardianship (KLG) placements </t>
  </si>
  <si>
    <t>Total program cost</t>
  </si>
  <si>
    <t xml:space="preserve">Resource Family placements </t>
  </si>
  <si>
    <t xml:space="preserve">Total Foster Care </t>
  </si>
  <si>
    <t xml:space="preserve">CP&amp;P Other Residential placements </t>
  </si>
  <si>
    <t>Independent Living services</t>
  </si>
  <si>
    <t>Number of adolescents</t>
  </si>
  <si>
    <t>Emergency placements</t>
  </si>
  <si>
    <t>Unduplicated children served</t>
  </si>
  <si>
    <t>Average cost per unduplicated child</t>
  </si>
  <si>
    <t>Total Other Residential placements</t>
  </si>
  <si>
    <t xml:space="preserve">Out-of-Home placements </t>
  </si>
  <si>
    <t>Children's System of Care</t>
  </si>
  <si>
    <t>Community and Evidence-Based services</t>
  </si>
  <si>
    <t xml:space="preserve">Mobile Response and Stabilization services </t>
  </si>
  <si>
    <t>Total dispatches</t>
  </si>
  <si>
    <t>Cost per dispatch</t>
  </si>
  <si>
    <t>Children with a developmental disability in residential placements</t>
  </si>
  <si>
    <t>Children with a developmental disability eligible to receive Family Support services</t>
  </si>
  <si>
    <t>Outpatient/Partial Care/Partial Hospitalization</t>
  </si>
  <si>
    <t>Youth served</t>
  </si>
  <si>
    <t>Cost per youth served</t>
  </si>
  <si>
    <t xml:space="preserve">Care Management services </t>
  </si>
  <si>
    <t>Total youth served</t>
  </si>
  <si>
    <t xml:space="preserve">Intensive In-Home Behavioral Assistance </t>
  </si>
  <si>
    <t>Total service hours</t>
  </si>
  <si>
    <t>Cost per service hour</t>
  </si>
  <si>
    <t>Family and Community Partnerships</t>
  </si>
  <si>
    <t>Early Childhood/Primary Prevention services</t>
  </si>
  <si>
    <t>Home Visitation</t>
  </si>
  <si>
    <t>Number of programs</t>
  </si>
  <si>
    <t>Cost per program</t>
  </si>
  <si>
    <t>Parent education and services</t>
  </si>
  <si>
    <t>Family Support services</t>
  </si>
  <si>
    <t>Family Success Centers</t>
  </si>
  <si>
    <t>Outreach to at-risk youth</t>
  </si>
  <si>
    <t>Other Family Support services programs</t>
  </si>
  <si>
    <t>School Linked Youth services</t>
  </si>
  <si>
    <t>School Linked Service programs</t>
  </si>
  <si>
    <t>Number of program sites</t>
  </si>
  <si>
    <t>Cost per program site</t>
  </si>
  <si>
    <t>NJ Child Assault Prevention (FCP only)</t>
  </si>
  <si>
    <t>Health Centers</t>
  </si>
  <si>
    <t>Division on Women</t>
  </si>
  <si>
    <t>Domestic Violence Prevention programs</t>
  </si>
  <si>
    <t>Women's Services programs</t>
  </si>
  <si>
    <t>State funds</t>
  </si>
  <si>
    <t>Federal funds</t>
  </si>
  <si>
    <t>Other funds</t>
  </si>
  <si>
    <t>Total funds Division on Women</t>
  </si>
  <si>
    <t>Client information for Division on Women</t>
  </si>
  <si>
    <t>Clients served by Women's Referral central hotline</t>
  </si>
  <si>
    <t>Displaced homemakers served by funded programs</t>
  </si>
  <si>
    <t>Number of rape victims served</t>
  </si>
  <si>
    <t>Clients served by Women's Domestic Violence hotline</t>
  </si>
  <si>
    <t>Affirmative Action Data</t>
  </si>
  <si>
    <t>Training Academy Services and Operations</t>
  </si>
  <si>
    <t xml:space="preserve">Actual payroll counts are reported for fiscal years 2016 and 2017 as of December and revised fiscal 2018 as of January.  The budget estimate for fiscal 2019 reflects the number of positions funded.         
</t>
  </si>
  <si>
    <t xml:space="preserve">   (a) Includes State Facilities Education Act (SFEA) Residential, Regional, State Responsible and District Placed students.</t>
  </si>
  <si>
    <t>22</t>
  </si>
  <si>
    <t>Department Of Community Affairs</t>
  </si>
  <si>
    <t>41</t>
  </si>
  <si>
    <t>Housing Code Enforcement</t>
  </si>
  <si>
    <t>Buildings registered</t>
  </si>
  <si>
    <t>Dwelling units registered</t>
  </si>
  <si>
    <t>Dwelling units requiring inspection</t>
  </si>
  <si>
    <t>Dwelling units inspected</t>
  </si>
  <si>
    <t>Percentage of dwelling units inspected</t>
  </si>
  <si>
    <t>Cost per unit inspected, State</t>
  </si>
  <si>
    <t>Cost per unit inspected, local</t>
  </si>
  <si>
    <t>Penalties issued</t>
  </si>
  <si>
    <t>Housing Services</t>
  </si>
  <si>
    <t xml:space="preserve">Housing units produced </t>
  </si>
  <si>
    <t>Homelessness Prevention</t>
  </si>
  <si>
    <t>Households assisted</t>
  </si>
  <si>
    <t>Shelter beds funded</t>
  </si>
  <si>
    <t>Uniform Construction Code</t>
  </si>
  <si>
    <t>Permits issued</t>
  </si>
  <si>
    <t>Inspections</t>
  </si>
  <si>
    <t>Officials licensed</t>
  </si>
  <si>
    <t>Plans reviewed</t>
  </si>
  <si>
    <t>State Building Unit</t>
  </si>
  <si>
    <t>Annual permits</t>
  </si>
  <si>
    <t>Construction permits issued</t>
  </si>
  <si>
    <t>Certificates of occupancy and approvals issued</t>
  </si>
  <si>
    <t>Continuing education and training programs offered</t>
  </si>
  <si>
    <t>Elevator Safety Unit</t>
  </si>
  <si>
    <t>Devices registered</t>
  </si>
  <si>
    <t>State-administered municipalities</t>
  </si>
  <si>
    <t>Liquefied petroleum gas inspections</t>
  </si>
  <si>
    <t>Amusement ride inspections</t>
  </si>
  <si>
    <t>Ski lift inspections</t>
  </si>
  <si>
    <t>Boarding Home Regulation and Assistance</t>
  </si>
  <si>
    <t>Evaluations</t>
  </si>
  <si>
    <t>Reevaluations</t>
  </si>
  <si>
    <t>Closings - imminent hazard</t>
  </si>
  <si>
    <t>Permanent licenses</t>
  </si>
  <si>
    <t>Complaints filed</t>
  </si>
  <si>
    <t>Uniform Fire Code</t>
  </si>
  <si>
    <t>Life hazards registered</t>
  </si>
  <si>
    <t>State inspections or reinspections performed</t>
  </si>
  <si>
    <t>Fire officials and inspectors certified</t>
  </si>
  <si>
    <t>State-owned and maintained buildings inspected or reinspected</t>
  </si>
  <si>
    <t>National fire incident reporting - participating organizations</t>
  </si>
  <si>
    <t>Local enforcement monitoring</t>
  </si>
  <si>
    <t>Fire investigations</t>
  </si>
  <si>
    <t>Sandy Recovery</t>
  </si>
  <si>
    <t>Codes and Standards</t>
  </si>
  <si>
    <r>
      <t>Actual payroll counts are reported for fiscal years 2016 and 2017 as of December and revised fiscal 2018 as of January</t>
    </r>
    <r>
      <rPr>
        <sz val="10"/>
        <rFont val="Arial"/>
        <family val="2"/>
      </rPr>
      <t xml:space="preserve">. The budget estimate for fiscal 2019 reflects the number of positions funded.  </t>
    </r>
  </si>
  <si>
    <t>Community Resources</t>
  </si>
  <si>
    <t>Community action agencies</t>
  </si>
  <si>
    <t>Persons served by community action agencies</t>
  </si>
  <si>
    <t>Recreation programs for individuals with disabilities</t>
  </si>
  <si>
    <t>Units weatherized</t>
  </si>
  <si>
    <t>Low Income Home Energy Assistance Program</t>
  </si>
  <si>
    <t>Number of households served</t>
  </si>
  <si>
    <t>Number of household members served</t>
  </si>
  <si>
    <t>Total assistance expenditures</t>
  </si>
  <si>
    <t>Average assistance payments per household</t>
  </si>
  <si>
    <r>
      <t>Actual payroll counts are reported for fiscal years 2016 and 2017 as of December and revised fiscal 2018 as of January</t>
    </r>
    <r>
      <rPr>
        <sz val="10"/>
        <rFont val="Arial"/>
        <family val="2"/>
      </rPr>
      <t>. The budget estimate for fiscal 2019 reflects the number of positions funded.</t>
    </r>
  </si>
  <si>
    <t>75</t>
  </si>
  <si>
    <t>Local Government Services</t>
  </si>
  <si>
    <t>Managerial competence</t>
  </si>
  <si>
    <t>Local Public Contracts Law - assistance requests processed</t>
  </si>
  <si>
    <t>Deferred compensation plans approved</t>
  </si>
  <si>
    <t>Cooperative purchasing plans approved</t>
  </si>
  <si>
    <t>Municipalities receiving self-insurance assistance</t>
  </si>
  <si>
    <t>Municipalities approved to enroll in joint insurance pools</t>
  </si>
  <si>
    <t>Applications for professional certification exams</t>
  </si>
  <si>
    <t>Professional certifications issued</t>
  </si>
  <si>
    <t>Length of Service Award Program - plans approved</t>
  </si>
  <si>
    <t>Qualified purchasing agent certificates issued</t>
  </si>
  <si>
    <t>Continuing education programs approved</t>
  </si>
  <si>
    <t>Research and technical assistance</t>
  </si>
  <si>
    <t>Budget amendments reviewed</t>
  </si>
  <si>
    <t>Single audit reviews conducted</t>
  </si>
  <si>
    <t>Joint insurance pools supervised</t>
  </si>
  <si>
    <t>Number of officials enrolled in GovConnect</t>
  </si>
  <si>
    <t>Number of GovConnect postings</t>
  </si>
  <si>
    <t>Authority regulation</t>
  </si>
  <si>
    <t>Authority budgets approved</t>
  </si>
  <si>
    <t>Authority project financing proposals reviewed</t>
  </si>
  <si>
    <t>Authorities assisted</t>
  </si>
  <si>
    <t>Registered municipal accountants and certified public accountants assisted</t>
  </si>
  <si>
    <t>Local Government Ethics Law</t>
  </si>
  <si>
    <t>Complaints filed against local officials</t>
  </si>
  <si>
    <t>Local codes of ethics reviewed</t>
  </si>
  <si>
    <t>Requests for advisory opinions</t>
  </si>
  <si>
    <t>Urban Enterprise Zone Authority</t>
  </si>
  <si>
    <t>Historic Trust</t>
  </si>
  <si>
    <t>Historic Trust grants</t>
  </si>
  <si>
    <t>Government Records Council</t>
  </si>
  <si>
    <t xml:space="preserve">Formal complaints received                                                                                                             </t>
  </si>
  <si>
    <t xml:space="preserve">Public inquiries received                                                                                                                    </t>
  </si>
  <si>
    <t>Affirmative action data</t>
  </si>
  <si>
    <r>
      <t>Actual payroll counts are reported for fiscal years 2016 and 2017 as of December and revised fiscal 2018 as of January</t>
    </r>
    <r>
      <rPr>
        <b/>
        <i/>
        <sz val="10"/>
        <rFont val="Arial"/>
        <family val="2"/>
      </rPr>
      <t>.</t>
    </r>
    <r>
      <rPr>
        <b/>
        <sz val="10"/>
        <rFont val="Arial"/>
        <family val="2"/>
      </rPr>
      <t xml:space="preserve"> </t>
    </r>
    <r>
      <rPr>
        <sz val="10"/>
        <rFont val="Arial"/>
        <family val="2"/>
      </rPr>
      <t xml:space="preserve"> The budget estimate for fiscal 2019 reflects the number of positions funded.</t>
    </r>
  </si>
  <si>
    <t>26</t>
  </si>
  <si>
    <t>Department Of Corrections</t>
  </si>
  <si>
    <t>7025</t>
  </si>
  <si>
    <t>OPERATING DATA</t>
  </si>
  <si>
    <t>Institutional Control and Supervision</t>
  </si>
  <si>
    <t>Average number of state inmates in county penal facilities</t>
  </si>
  <si>
    <t>County assistance and county contract</t>
  </si>
  <si>
    <t>Community bed spaces</t>
  </si>
  <si>
    <t xml:space="preserve">State supported </t>
  </si>
  <si>
    <t xml:space="preserve">Institutional Program Support </t>
  </si>
  <si>
    <t>Actual payroll counts are reported for fiscal years 2016 and 2017 as of December and revised fiscal 2018 as of January. The budget estimate for fiscal 2019 reflects the number of positions funded.</t>
  </si>
  <si>
    <t>New Jersey State Prison</t>
  </si>
  <si>
    <t>Education Program</t>
  </si>
  <si>
    <t>Participants</t>
  </si>
  <si>
    <t>Academic</t>
  </si>
  <si>
    <t>Adult basic education</t>
  </si>
  <si>
    <t>State Facilities Education Act (under 21 years of age)</t>
  </si>
  <si>
    <t>Vocational education</t>
  </si>
  <si>
    <t>Operational capacity</t>
  </si>
  <si>
    <t>Annual per capita</t>
  </si>
  <si>
    <t>Daily per capita</t>
  </si>
  <si>
    <t>Vroom Central Reception and Assignment Facility</t>
  </si>
  <si>
    <t>East Jersey State Prison</t>
  </si>
  <si>
    <t xml:space="preserve">OPERATING DATA </t>
  </si>
  <si>
    <t>South Woods State Prison</t>
  </si>
  <si>
    <t>Bayside State Prison</t>
  </si>
  <si>
    <t>Southern State Correctional Facility</t>
  </si>
  <si>
    <t>Mid-State Correctional Facility (a)</t>
  </si>
  <si>
    <t>N/A</t>
  </si>
  <si>
    <t xml:space="preserve">Riverfront State Prison </t>
  </si>
  <si>
    <t>Adult Basic Education</t>
  </si>
  <si>
    <t>General Educational Development</t>
  </si>
  <si>
    <t>Vocational Education</t>
  </si>
  <si>
    <t>Design capacity</t>
  </si>
  <si>
    <t xml:space="preserve">Annual per capita </t>
  </si>
  <si>
    <t>Edna Mahan Correctional Facility for Women</t>
  </si>
  <si>
    <t>Northern State Prison</t>
  </si>
  <si>
    <t>Adult Diagnostic and Treatment Center, Avenel</t>
  </si>
  <si>
    <t xml:space="preserve">Residents--Civilly Committed Sexual Offender Program </t>
  </si>
  <si>
    <t>Garden State Youth Correctional Facility</t>
  </si>
  <si>
    <t>Albert C. Wagner Youth Correctional Facility</t>
  </si>
  <si>
    <t>Mountainview Youth Correctional Facility</t>
  </si>
  <si>
    <t xml:space="preserve">Operational capacity </t>
  </si>
  <si>
    <t>Institutional Total</t>
  </si>
  <si>
    <t xml:space="preserve">Education Program (b) </t>
  </si>
  <si>
    <t>Ratio: Population/positions</t>
  </si>
  <si>
    <t>2.6/1</t>
  </si>
  <si>
    <t>2.5/1</t>
  </si>
  <si>
    <t>2.4/1</t>
  </si>
  <si>
    <t xml:space="preserve">Residents - Civilly Committed Sexual Offender Program </t>
  </si>
  <si>
    <t xml:space="preserve">Federal </t>
  </si>
  <si>
    <t>Institutional Care and Treatment</t>
  </si>
  <si>
    <t>Actual payroll counts are reported for fiscal years 2016 and 2017 as of December and revised fiscal 2018 as of January. The budget estimate for fiscal 2019 reflects the number of positions funded.  Position ratios and per capita costs do not include the Civilly Committed Sexual Offender Program.</t>
  </si>
  <si>
    <t>Daily per capita rate calculations are based on 366 days for fiscal 2016 and 365 days for the other fiscal years.</t>
  </si>
  <si>
    <t xml:space="preserve">Operational Capacity is the number of inmates that can be accommodated based on a facility's available beds, budgeted staff, programs and services.  It does not include beds temporarily closed. </t>
  </si>
  <si>
    <t>(a) Mid-State Correctional Facility was depopulated at the end of fiscal 2014 to undergo capital renovations and reopened in April 2017 as a correctional facility dedicated to drug treatment.</t>
  </si>
  <si>
    <t xml:space="preserve">(b) Participants are now calculated by using the official academic census day in order to be consistent with the Department of Education's census calculations and to avoid pupil count duplication. </t>
  </si>
  <si>
    <t>17</t>
  </si>
  <si>
    <t>Parolees under supervision (beginning of year)</t>
  </si>
  <si>
    <t>Added to supervision</t>
  </si>
  <si>
    <t>Removed from supervision</t>
  </si>
  <si>
    <t>Level of parole supervision</t>
  </si>
  <si>
    <t>General supervision</t>
  </si>
  <si>
    <t>Special caseload data</t>
  </si>
  <si>
    <t>Parolee Electronic Monitoring Program</t>
  </si>
  <si>
    <t>Supervision, Surveillance and Gang Suppression</t>
  </si>
  <si>
    <t>Satellite-based Monitoring of Sex Offenders</t>
  </si>
  <si>
    <t>Community programs</t>
  </si>
  <si>
    <t>Office of Interstate Services</t>
  </si>
  <si>
    <t>Sex Offender Management Unit</t>
  </si>
  <si>
    <t xml:space="preserve">Sex offenders included in other special caseloads </t>
  </si>
  <si>
    <t>Total number of sex offenders, all caseloads</t>
  </si>
  <si>
    <t>Community program contracted capacity</t>
  </si>
  <si>
    <t>Re-Entry Substance Abuse Program (RESAP)</t>
  </si>
  <si>
    <t>Stages to Enhance Parolee Success Program (STEPS)</t>
  </si>
  <si>
    <t>Community Resource Center (CRC)</t>
  </si>
  <si>
    <t xml:space="preserve">Program for Returning Offenders with Mental Illness Safely and Effectively (PROMISE) </t>
  </si>
  <si>
    <t>Annual community program placements</t>
  </si>
  <si>
    <t>Mutual Agreement Program (MAP)</t>
  </si>
  <si>
    <t xml:space="preserve">Community Resource Center (CRC) </t>
  </si>
  <si>
    <t>Total community program placements</t>
  </si>
  <si>
    <t>State Parole Board</t>
  </si>
  <si>
    <t>Hearings</t>
  </si>
  <si>
    <t>Counties</t>
  </si>
  <si>
    <t>Juvenile</t>
  </si>
  <si>
    <t>Parole revocations considered</t>
  </si>
  <si>
    <t>Reviews:</t>
  </si>
  <si>
    <t>Appeals processed</t>
  </si>
  <si>
    <t>Victim input registrations</t>
  </si>
  <si>
    <t>19</t>
  </si>
  <si>
    <t>Central Planning, Direction and Management</t>
  </si>
  <si>
    <t>Affirmative Action data (a)</t>
  </si>
  <si>
    <t>(a) The Department of Corrections Affirmative Action data does not include the State Parole Board.</t>
  </si>
  <si>
    <t>34</t>
  </si>
  <si>
    <t>Department Of Education</t>
  </si>
  <si>
    <t>31</t>
  </si>
  <si>
    <t>General Formula Aid</t>
  </si>
  <si>
    <t>Resident enrollment</t>
  </si>
  <si>
    <t xml:space="preserve">Support per pupil (per State expenditure/appropriation </t>
  </si>
  <si>
    <t>and district budgets)  (a)</t>
  </si>
  <si>
    <t>Local</t>
  </si>
  <si>
    <t>Percent support per pupil</t>
  </si>
  <si>
    <t>Enrollment as of October 15 (prebudget year)</t>
  </si>
  <si>
    <t>All districts, total</t>
  </si>
  <si>
    <t>Kindergarten/preschool</t>
  </si>
  <si>
    <t>Elementary school (grades 1-5)</t>
  </si>
  <si>
    <t>Middle school (grades 6-8)</t>
  </si>
  <si>
    <t>High school (grades 9-12)</t>
  </si>
  <si>
    <t>Evening school, post graduate</t>
  </si>
  <si>
    <t>Special education</t>
  </si>
  <si>
    <t>County vocational</t>
  </si>
  <si>
    <t>Students in State facilities</t>
  </si>
  <si>
    <t>Nonpublic School Aid</t>
  </si>
  <si>
    <t>Textbook Aid - pupils enrolled</t>
  </si>
  <si>
    <t>Auxiliary Services Aid - students served</t>
  </si>
  <si>
    <t>Handicapped Aid - students served</t>
  </si>
  <si>
    <t>Nursing Services Aid - pupils enrolled</t>
  </si>
  <si>
    <t>Special Education</t>
  </si>
  <si>
    <t>Enrollments</t>
  </si>
  <si>
    <t>Local districts</t>
  </si>
  <si>
    <t>Regional day schools</t>
  </si>
  <si>
    <t>County vocational special education</t>
  </si>
  <si>
    <r>
      <t>Federal</t>
    </r>
    <r>
      <rPr>
        <vertAlign val="superscript"/>
        <sz val="10"/>
        <rFont val="Arial"/>
        <family val="2"/>
      </rPr>
      <t xml:space="preserve"> </t>
    </r>
  </si>
  <si>
    <t>Student Transportation</t>
  </si>
  <si>
    <t>Facilities Planning and School Building Aid</t>
  </si>
  <si>
    <t>School Finance</t>
  </si>
  <si>
    <t xml:space="preserve">Actual payroll counts are reported for fiscal years 2016 and 2017 as of December and revised fiscal 2018 as of January. The budget estimate for fiscal 2019 reflects the number of positions funded.  </t>
  </si>
  <si>
    <t>(a) Support per pupil is based on a different calculation than total spending per pupil in the Taxpayers' Guide to Education Spending.</t>
  </si>
  <si>
    <t>32</t>
  </si>
  <si>
    <t>Marie H. Katzenbach School for the Deaf</t>
  </si>
  <si>
    <t>Annual enrollment</t>
  </si>
  <si>
    <t>Day pupils</t>
  </si>
  <si>
    <t>Residential pupils</t>
  </si>
  <si>
    <t xml:space="preserve">Gross annual cost per pupil </t>
  </si>
  <si>
    <t>Annual payments from local school boards</t>
  </si>
  <si>
    <t>For regular day pupils</t>
  </si>
  <si>
    <t>For residential pupils</t>
  </si>
  <si>
    <t>Direct annual state support per pupil</t>
  </si>
  <si>
    <t>Annual graduates</t>
  </si>
  <si>
    <t xml:space="preserve">Annual graduates enrolled in college </t>
  </si>
  <si>
    <t>Annual graduates employed (a)</t>
  </si>
  <si>
    <t>Behavioral Support Program (b)</t>
  </si>
  <si>
    <t>(a) Includes postsecondary training.</t>
  </si>
  <si>
    <t>(b) The Behavioral Support Program was phased-out during the 2017-2018 school year.</t>
  </si>
  <si>
    <t>33</t>
  </si>
  <si>
    <t xml:space="preserve">PROGRAM DATA </t>
  </si>
  <si>
    <t>General Vocational Education</t>
  </si>
  <si>
    <t>Secondary vocational education</t>
  </si>
  <si>
    <t>Annual enrollments</t>
  </si>
  <si>
    <r>
      <t>Actual payroll counts are reported for fiscal years 2016 and 2017 as of December</t>
    </r>
    <r>
      <rPr>
        <b/>
        <sz val="10"/>
        <rFont val="Arial"/>
        <family val="2"/>
      </rPr>
      <t xml:space="preserve"> </t>
    </r>
    <r>
      <rPr>
        <sz val="10"/>
        <rFont val="Arial"/>
        <family val="2"/>
      </rPr>
      <t>and revised fiscal 2018 as of January. The budget estimate for fiscal 2019 reflects the number of positions funded.</t>
    </r>
  </si>
  <si>
    <t>Bilingual Education</t>
  </si>
  <si>
    <t>Limited English speaking students served</t>
  </si>
  <si>
    <t>Programs for Disadvantaged Youth</t>
  </si>
  <si>
    <t>Federal Title I</t>
  </si>
  <si>
    <t>Migrant children served</t>
  </si>
  <si>
    <t>Disadvantaged children served</t>
  </si>
  <si>
    <t>Students eligible for free milk/free &amp; reduced price meals</t>
  </si>
  <si>
    <t>Standards, Assessments and Curriculum</t>
  </si>
  <si>
    <t>High school equivalency</t>
  </si>
  <si>
    <t>Adults tested</t>
  </si>
  <si>
    <t>Adults earning State diplomas</t>
  </si>
  <si>
    <t>Charter schools licensed</t>
  </si>
  <si>
    <t>Grants Management</t>
  </si>
  <si>
    <t>Discretionary contracts awarded annually</t>
  </si>
  <si>
    <t>Entitlement contracts awarded annually</t>
  </si>
  <si>
    <t>Teacher and Leader Effectiveness</t>
  </si>
  <si>
    <t>Annual induction evaluations (non-issuance)</t>
  </si>
  <si>
    <t xml:space="preserve">Certificates awarded annually </t>
  </si>
  <si>
    <t>Academic credentials issued annually</t>
  </si>
  <si>
    <t>County substitute certificate applications received annually</t>
  </si>
  <si>
    <t>Certificates of eligibility issued annually</t>
  </si>
  <si>
    <t>Training contracts approved annually</t>
  </si>
  <si>
    <t>Annual induction evaluations</t>
  </si>
  <si>
    <r>
      <t>Service to Local Districts</t>
    </r>
    <r>
      <rPr>
        <b/>
        <vertAlign val="superscript"/>
        <sz val="10"/>
        <rFont val="Arial"/>
        <family val="2"/>
      </rPr>
      <t xml:space="preserve"> </t>
    </r>
  </si>
  <si>
    <t>Needs identified</t>
  </si>
  <si>
    <t>Districts monitored annually</t>
  </si>
  <si>
    <t>Assistance rendered</t>
  </si>
  <si>
    <t>Districts needing technical assistance per corrective action plans</t>
  </si>
  <si>
    <t>Learning Supports and Specialized Services</t>
  </si>
  <si>
    <t>Holocaust/Genocide Education</t>
  </si>
  <si>
    <t>Workshops</t>
  </si>
  <si>
    <t>Participants (Students/Educators/Survivors/Community)</t>
  </si>
  <si>
    <t>Service to Local Districts</t>
  </si>
  <si>
    <t>Innovation</t>
  </si>
  <si>
    <t>Early Childhood Education</t>
  </si>
  <si>
    <t>School Improvement</t>
  </si>
  <si>
    <t>(a) Beginning in fiscal 2016, a minimum of two years is required to obtain a certificate.</t>
  </si>
  <si>
    <t>35</t>
  </si>
  <si>
    <t>Office of Fiscal Accountability and Compliance</t>
  </si>
  <si>
    <t>Annual compliance and fiscal reviews of school districts</t>
  </si>
  <si>
    <t>Annual audits of applications for State school aid</t>
  </si>
  <si>
    <t>Annual monitoring of private schools for the disabled</t>
  </si>
  <si>
    <t>Annual audits of Title I funds</t>
  </si>
  <si>
    <t>Annual audits of Carl D. Perkins funds</t>
  </si>
  <si>
    <t xml:space="preserve">State supported  </t>
  </si>
  <si>
    <t>Data Research, Evaluation and Reporting</t>
  </si>
  <si>
    <t>42</t>
  </si>
  <si>
    <t>Department Of Environmental Protection</t>
  </si>
  <si>
    <t>Forest Resource Management</t>
  </si>
  <si>
    <t>Fires (annual)</t>
  </si>
  <si>
    <t>Acres lost (annual)</t>
  </si>
  <si>
    <t>Acres of prescribed burning</t>
  </si>
  <si>
    <t>Parks Management</t>
  </si>
  <si>
    <t>State parks and forests</t>
  </si>
  <si>
    <t>Total visitors</t>
  </si>
  <si>
    <t>Total revenue (millions)</t>
  </si>
  <si>
    <t>Historic sites</t>
  </si>
  <si>
    <t>Total revenue</t>
  </si>
  <si>
    <t>Green Acres/open space preservation</t>
  </si>
  <si>
    <t>Acres preserved</t>
  </si>
  <si>
    <t>Acres preserved since inception of GSPT (a)</t>
  </si>
  <si>
    <t>State funding (millions)</t>
  </si>
  <si>
    <t>County/municipal funding (millions)</t>
  </si>
  <si>
    <t>County/municipal dedicated tax revenue (millions)</t>
  </si>
  <si>
    <t>Non-profit funding (millions)</t>
  </si>
  <si>
    <t>Hunters' and Anglers' License Fund</t>
  </si>
  <si>
    <t>Trout propagated and distributed</t>
  </si>
  <si>
    <t>Pheasants reared at game farms</t>
  </si>
  <si>
    <t>Other fish propagated and distributed</t>
  </si>
  <si>
    <t>Natural Resources Engineering</t>
  </si>
  <si>
    <t>Shore Protection Fund projects</t>
  </si>
  <si>
    <t>Cubic yards of sand pumped (millions)</t>
  </si>
  <si>
    <t xml:space="preserve">Parks Management </t>
  </si>
  <si>
    <t>(b)</t>
  </si>
  <si>
    <t>Shellfish and Marine Fisheries Management</t>
  </si>
  <si>
    <t>Wildlife Management</t>
  </si>
  <si>
    <t>Environmental Management and Preservation - CBT Dedication</t>
  </si>
  <si>
    <t>(a) Garden State Preservation Trust (GSPT)</t>
  </si>
  <si>
    <t>(b) Reflects the shift of positions funded under the CBT dedication in fiscal 2016.</t>
  </si>
  <si>
    <t>43</t>
  </si>
  <si>
    <t>Water Monitoring and Standards</t>
  </si>
  <si>
    <t>Ambient Marine Water:</t>
  </si>
  <si>
    <t>Water samples analyzed</t>
  </si>
  <si>
    <t>Shellfish bed acres open</t>
  </si>
  <si>
    <t>Shellfish bed acres seasonal</t>
  </si>
  <si>
    <t>Shellfish bed acres condemned</t>
  </si>
  <si>
    <t>Shellfish bed acres specially restricted</t>
  </si>
  <si>
    <t>Tidelands:</t>
  </si>
  <si>
    <t>Grant applications approved</t>
  </si>
  <si>
    <t>New licenses</t>
  </si>
  <si>
    <t>License renewals</t>
  </si>
  <si>
    <t>Statements of No Interest (SNI) issued</t>
  </si>
  <si>
    <t>Water Supply</t>
  </si>
  <si>
    <t>Water Monitoring and Resource Management</t>
  </si>
  <si>
    <t>Division of Science, Research and Environmental Health</t>
  </si>
  <si>
    <t>New Jersey Geological Survey</t>
  </si>
  <si>
    <t>Drinking Water State Revolving Fund</t>
  </si>
  <si>
    <t>Environmental Policy and Planning</t>
  </si>
  <si>
    <t xml:space="preserve">Actual payroll counts are reported for fiscal years 2016 and 2017 as of December and revised fiscal 2018 as of January.  The budget estimate for fiscal 2019 reflects the number of positions funded. </t>
  </si>
  <si>
    <t xml:space="preserve">(a) Reflects the shift of positions from all other to State supported within the Water Monitoring and Resource Management program class beginning in fiscal 2019. </t>
  </si>
  <si>
    <t>44</t>
  </si>
  <si>
    <t>Solid and Hazardous Waste Management</t>
  </si>
  <si>
    <t>Annual tonnage of solid waste:</t>
  </si>
  <si>
    <t>Generated statewide</t>
  </si>
  <si>
    <t>Generated per capita (lbs./person/day)</t>
  </si>
  <si>
    <t>Recycled statewide</t>
  </si>
  <si>
    <t>Recycled per capita (lbs./person/day)</t>
  </si>
  <si>
    <t>Reduction in solid waste stream due to recycling</t>
  </si>
  <si>
    <t>Annual tonnage of hazardous waste generated statewide</t>
  </si>
  <si>
    <t xml:space="preserve">Disposed </t>
  </si>
  <si>
    <t>Incinerated</t>
  </si>
  <si>
    <t>Remediation Management</t>
  </si>
  <si>
    <t xml:space="preserve">Total active cases in Site Remediation Program </t>
  </si>
  <si>
    <t>Licensed Site Remediation Professionals (LSRP) Program</t>
  </si>
  <si>
    <t>Non-LSRP</t>
  </si>
  <si>
    <t>Unregulated Heating Oil Tank (UHOT) Program</t>
  </si>
  <si>
    <t>Number of LSRP case inspections completed</t>
  </si>
  <si>
    <t>Number of LSRP case reviews completed</t>
  </si>
  <si>
    <t>Total number of Remedial Action Outcome (RAO) documents issued</t>
  </si>
  <si>
    <t>UHOT cases underway</t>
  </si>
  <si>
    <t>UHOT cases closed</t>
  </si>
  <si>
    <t xml:space="preserve">Permit applications received </t>
  </si>
  <si>
    <t xml:space="preserve">Permits issued </t>
  </si>
  <si>
    <t>Publicly-Funded Site Remediation and Response</t>
  </si>
  <si>
    <t xml:space="preserve">Solid and Hazardous Waste Management </t>
  </si>
  <si>
    <t xml:space="preserve">Environmental Management and Preservation - CBT Dedication </t>
  </si>
  <si>
    <t>45</t>
  </si>
  <si>
    <t>Radiation Protection</t>
  </si>
  <si>
    <t>X-ray machines inspected</t>
  </si>
  <si>
    <t>X-ray machine violations (percentage of inspected)</t>
  </si>
  <si>
    <t>Homes tested for radon</t>
  </si>
  <si>
    <t>Homes mitigated for radon</t>
  </si>
  <si>
    <t>Lung cancers avoided</t>
  </si>
  <si>
    <t>Release Prevention</t>
  </si>
  <si>
    <t>Toxic Catastrophe Prevention</t>
  </si>
  <si>
    <t>Right To Know</t>
  </si>
  <si>
    <t>Information requests</t>
  </si>
  <si>
    <t>Audits for facilities</t>
  </si>
  <si>
    <t xml:space="preserve">Administrative orders </t>
  </si>
  <si>
    <t>Public Wastewater Facilities</t>
  </si>
  <si>
    <t xml:space="preserve">Capitalized funding provided for municipal  </t>
  </si>
  <si>
    <t>infrastructure improvement projects (in millions)</t>
  </si>
  <si>
    <t xml:space="preserve">Municipal infrastructure improvement projects funded </t>
  </si>
  <si>
    <t xml:space="preserve">Environmental Management - CBT Dedication </t>
  </si>
  <si>
    <t>Diesel-powered engine retrofit installation</t>
  </si>
  <si>
    <t>Municipal solid waste vehicle</t>
  </si>
  <si>
    <t>Installations approved</t>
  </si>
  <si>
    <t>Cost encumbered (in millions)</t>
  </si>
  <si>
    <t>Installations completed</t>
  </si>
  <si>
    <t>Commercial bus</t>
  </si>
  <si>
    <t>Public trucks and off-road vehicle</t>
  </si>
  <si>
    <t xml:space="preserve">Air Pollution Control </t>
  </si>
  <si>
    <t>Water Pollution Control</t>
  </si>
  <si>
    <t>Clean Waters</t>
  </si>
  <si>
    <t>46</t>
  </si>
  <si>
    <t>Open Public Records Act (OPRA) data</t>
  </si>
  <si>
    <t>Number of OPRA requests received</t>
  </si>
  <si>
    <t>Filled positions by program</t>
  </si>
  <si>
    <t>Regulatory and Governmental Affairs</t>
  </si>
  <si>
    <t>47</t>
  </si>
  <si>
    <t>Air Pollution Control</t>
  </si>
  <si>
    <t>Investigations and inspections</t>
  </si>
  <si>
    <t>Pesticide Control</t>
  </si>
  <si>
    <t>Pesticide products regulated</t>
  </si>
  <si>
    <t>Pesticide licenses and permits</t>
  </si>
  <si>
    <t>Clean Shores:</t>
  </si>
  <si>
    <t>Miles of beaches cleaned</t>
  </si>
  <si>
    <t>Tons of debris removed</t>
  </si>
  <si>
    <t>Hazardous waste annual inspections</t>
  </si>
  <si>
    <t>Department Of Health And Senior Services</t>
  </si>
  <si>
    <t>21</t>
  </si>
  <si>
    <t>Vital Statistics</t>
  </si>
  <si>
    <t>Searches</t>
  </si>
  <si>
    <t>Certified copies issued</t>
  </si>
  <si>
    <t>Family Health Services</t>
  </si>
  <si>
    <t>Number of family health service grants</t>
  </si>
  <si>
    <t>Children with disabilities</t>
  </si>
  <si>
    <t>Physically disabled children receiving services</t>
  </si>
  <si>
    <t>Children newly registered with Special Child Health Services</t>
  </si>
  <si>
    <t>Maternal and Child Health</t>
  </si>
  <si>
    <t>Infant mortality rate/1,000 live births</t>
  </si>
  <si>
    <t>Infant born to mothers with no prenatal care/1,000 live</t>
  </si>
  <si>
    <t>births</t>
  </si>
  <si>
    <t>Newborns screened for metabolic and genetic disorders</t>
  </si>
  <si>
    <t>Number of infants to be followed</t>
  </si>
  <si>
    <t>Number of infants in early intervention</t>
  </si>
  <si>
    <t>Women assessed for alcohol use during pregnancy</t>
  </si>
  <si>
    <t>Women, Infants, and Children (WIC) receiving services</t>
  </si>
  <si>
    <t>Family Planning</t>
  </si>
  <si>
    <t>Women in reproductive years applying for and receiving services</t>
  </si>
  <si>
    <t>Poison Control</t>
  </si>
  <si>
    <t xml:space="preserve">Children screened for lead poisoning </t>
  </si>
  <si>
    <t>Number of children with elevated blood lead levels identified (a)</t>
  </si>
  <si>
    <t>Adult Health</t>
  </si>
  <si>
    <t>Adults served with Cystic Fibrosis</t>
  </si>
  <si>
    <t>Health Promotion</t>
  </si>
  <si>
    <t>Breast and/or cervical cancer screenings under New Jersey Cancer Education &amp; Early Detection Program</t>
  </si>
  <si>
    <t>Number of renal patients served</t>
  </si>
  <si>
    <t>Public Health Protection Services</t>
  </si>
  <si>
    <t>Cancer and Epidemiological Services</t>
  </si>
  <si>
    <t>Number of new cancer cases reported</t>
  </si>
  <si>
    <t>Number of cumulative cancer reports in master file</t>
  </si>
  <si>
    <t>Tuberculosis (TB) Control</t>
  </si>
  <si>
    <t>TB cases on register as of June 30</t>
  </si>
  <si>
    <t>Visits to chest clinics</t>
  </si>
  <si>
    <t>Percent of TB patients completing chemotherapy</t>
  </si>
  <si>
    <t>Emergency Medical Services</t>
  </si>
  <si>
    <t>Mobile intensive care paramedics certified/recertified</t>
  </si>
  <si>
    <t>Emergency Medical Technicians (EMT) certified/recertified</t>
  </si>
  <si>
    <t>Helicopter response missions</t>
  </si>
  <si>
    <t>Ambulance/invalid services licensed</t>
  </si>
  <si>
    <t>Ambulance/invalid vehicles licensed</t>
  </si>
  <si>
    <t>EMT training agencies certified</t>
  </si>
  <si>
    <t>Sexually Transmitted Diseases (STD)</t>
  </si>
  <si>
    <t>Percent of STD clinic patients receiving education about HIV infection</t>
  </si>
  <si>
    <t>Reported cases of early syphilis</t>
  </si>
  <si>
    <t>Reported treatment for early syphilis cases</t>
  </si>
  <si>
    <t>Reported cases of gonorrhea</t>
  </si>
  <si>
    <t>Reported treatment for gonorrhea cases</t>
  </si>
  <si>
    <t>Reported cases of chlamydia</t>
  </si>
  <si>
    <t>Reported treatment for chlamydia cases</t>
  </si>
  <si>
    <t>Visits to STD clinics</t>
  </si>
  <si>
    <t>Consumer Health</t>
  </si>
  <si>
    <t>Pet spay/neuter surgeries performed</t>
  </si>
  <si>
    <t>Registration of dogs (rabies control)</t>
  </si>
  <si>
    <t>Environmental and sanitary inspections and investigations conducted</t>
  </si>
  <si>
    <t>Number of food, drug and cosmetic embargoes, destructions and recalls</t>
  </si>
  <si>
    <t>Other Communicable Disease Control</t>
  </si>
  <si>
    <t>Number of disease cases reported</t>
  </si>
  <si>
    <t>Number of investigations of outbreaks</t>
  </si>
  <si>
    <t>Levels of protection for children entering school against:</t>
  </si>
  <si>
    <t>Rubella</t>
  </si>
  <si>
    <t>Measles</t>
  </si>
  <si>
    <t>Mumps</t>
  </si>
  <si>
    <t>Polio</t>
  </si>
  <si>
    <t>Diphtheria</t>
  </si>
  <si>
    <t>Infectious disease consultations</t>
  </si>
  <si>
    <t>Non-outbreak investigations</t>
  </si>
  <si>
    <t>Public Employees Occupational Safety and Health</t>
  </si>
  <si>
    <t>Complaint inspections conducted</t>
  </si>
  <si>
    <t>Telephone consultations</t>
  </si>
  <si>
    <t>Educational seminars presented</t>
  </si>
  <si>
    <t>Right to Know</t>
  </si>
  <si>
    <t>Fact sheets written or revised</t>
  </si>
  <si>
    <t>Public and private workplaces inspected</t>
  </si>
  <si>
    <t>Occupational Health Surveillance</t>
  </si>
  <si>
    <t>Exposure and illness reports received</t>
  </si>
  <si>
    <t>Educational materials mailed to public</t>
  </si>
  <si>
    <t>In-depth industrial hygiene evaluations</t>
  </si>
  <si>
    <t>Worker interviews and mailings</t>
  </si>
  <si>
    <t>Environmental Health Services</t>
  </si>
  <si>
    <t>Certification of private training agencies</t>
  </si>
  <si>
    <t>Audits of asbestos and lead training agencies</t>
  </si>
  <si>
    <t>Quality assurance inspections in schools</t>
  </si>
  <si>
    <t>Major community health field study ongoing</t>
  </si>
  <si>
    <t>Responses to acute environmental emergencies</t>
  </si>
  <si>
    <t>Consultations provided to other agencies and to the public</t>
  </si>
  <si>
    <t>Laboratory Services</t>
  </si>
  <si>
    <t>Public Health Laboratory Services</t>
  </si>
  <si>
    <t>Microbiology</t>
  </si>
  <si>
    <t>Automated assays (b)</t>
  </si>
  <si>
    <t>Virology</t>
  </si>
  <si>
    <t xml:space="preserve">Newborn screening </t>
  </si>
  <si>
    <t>Environmental and Chemical Laboratory Services</t>
  </si>
  <si>
    <t>Organics, inorganics, radiochemistry, microbiology &amp; chemical terrorism samples analyzed</t>
  </si>
  <si>
    <t>Clinical Laboratory Services</t>
  </si>
  <si>
    <t>Clinical laboratories licensed</t>
  </si>
  <si>
    <t>Laboratory collection stations licensed</t>
  </si>
  <si>
    <t>Clinical Laboratory Improvement Amendments (CLIA) inspections</t>
  </si>
  <si>
    <t>Blood bank licensing inspections</t>
  </si>
  <si>
    <t>AIDS Services</t>
  </si>
  <si>
    <t>Number of clients tested and counseled</t>
  </si>
  <si>
    <t>Contact tracing of individuals</t>
  </si>
  <si>
    <t>Hotline network calls</t>
  </si>
  <si>
    <t xml:space="preserve">Clients living with HIV/AIDS </t>
  </si>
  <si>
    <t>AIDS Drug Distribution Program clients served</t>
  </si>
  <si>
    <t xml:space="preserve">(a) Increase from fiscal 2017 to 2018 is due to a change in N.J.A.C. 8:51 for the standards for elevated blood lead level identification. </t>
  </si>
  <si>
    <t>(b) Drug screen testing has been discontinued beginning fiscal 2016.</t>
  </si>
  <si>
    <t>Health Care Facility Regulation and Oversight</t>
  </si>
  <si>
    <t>Long Term Care - Licensed Facilities</t>
  </si>
  <si>
    <t>Licensed nursing home administrators</t>
  </si>
  <si>
    <t>Total long term care licenses issued</t>
  </si>
  <si>
    <t>Number of beds licensed</t>
  </si>
  <si>
    <t>Total inspections of long term care facilities</t>
  </si>
  <si>
    <t>Total complaint investigations of long term care facilities</t>
  </si>
  <si>
    <t>Total federally certified non-state licensed facilities</t>
  </si>
  <si>
    <t>Total federally certified non-state licensed beds</t>
  </si>
  <si>
    <t>Administrative actions/penalties of long term care facilities</t>
  </si>
  <si>
    <t>Federal enforcement actions of long term care facilities</t>
  </si>
  <si>
    <t>Nurse Aide applications processed</t>
  </si>
  <si>
    <t>Acute Care - Licensed Facilities</t>
  </si>
  <si>
    <t>Total inspections of acute care facilities</t>
  </si>
  <si>
    <t>Total complaint investigations of acute care facilities</t>
  </si>
  <si>
    <t>Total acute care license applications processed</t>
  </si>
  <si>
    <t>Total acute care enforcement actions/penalties</t>
  </si>
  <si>
    <t>Certificate of Need (CN) applications processed</t>
  </si>
  <si>
    <t xml:space="preserve">   License Downgraded to Conditional or Conditional License Isssued</t>
  </si>
  <si>
    <t>Health Care Systems Analysis</t>
  </si>
  <si>
    <t>Hospital charity care audits</t>
  </si>
  <si>
    <t>Hospital utilization data</t>
  </si>
  <si>
    <t>Patient discharges</t>
  </si>
  <si>
    <t>Number of hospitals</t>
  </si>
  <si>
    <t>Hospital performance report - distribution</t>
  </si>
  <si>
    <t>Cardiac surgery report - consumer</t>
  </si>
  <si>
    <t>Hospital Funding</t>
  </si>
  <si>
    <t>Charity Care</t>
  </si>
  <si>
    <t>Graduate Medical Education</t>
  </si>
  <si>
    <t>Hospital Delivery System Reform Incentive Payments</t>
  </si>
  <si>
    <t>Total Funding</t>
  </si>
  <si>
    <t xml:space="preserve">Position Data </t>
  </si>
  <si>
    <t>Filled Positions by Funding Source</t>
  </si>
  <si>
    <t>Total Positions</t>
  </si>
  <si>
    <t>Filled Positions by Program Class</t>
  </si>
  <si>
    <t>Actual payroll counts are reported for fiscal years 2016 and 2017 as of December and revised fiscal year 2018 as of January. The Budget Estimate for fiscal year 2019 reflects the number of positions funded.</t>
  </si>
  <si>
    <t>The fiscal years 2016 and 2017 program and position data have been adjusted to reflect the transfer of the Division of Mental Health and Addiction Services from the Department of Human Services to the Department of Health.</t>
  </si>
  <si>
    <t>Department Of Health</t>
  </si>
  <si>
    <t>23</t>
  </si>
  <si>
    <t>4290</t>
  </si>
  <si>
    <t>Community Services</t>
  </si>
  <si>
    <t>Community Care Services</t>
  </si>
  <si>
    <t>Provider agencies</t>
  </si>
  <si>
    <t>Contracts</t>
  </si>
  <si>
    <t>Total cost to state (a)</t>
  </si>
  <si>
    <t>Total clients served</t>
  </si>
  <si>
    <t>Service programs:</t>
  </si>
  <si>
    <t>Clients served</t>
  </si>
  <si>
    <t>Cost to state</t>
  </si>
  <si>
    <t>Early intervention and support services</t>
  </si>
  <si>
    <t>Screening services</t>
  </si>
  <si>
    <t>Outpatient services</t>
  </si>
  <si>
    <t>Partial care</t>
  </si>
  <si>
    <t>Residential</t>
  </si>
  <si>
    <t xml:space="preserve">Short-term care facilities </t>
  </si>
  <si>
    <t>Contracted beds</t>
  </si>
  <si>
    <t>Cost to state (b)</t>
  </si>
  <si>
    <t>Supported housing</t>
  </si>
  <si>
    <t>Supported employment</t>
  </si>
  <si>
    <t>Self-help centers</t>
  </si>
  <si>
    <t>Integrated case management</t>
  </si>
  <si>
    <t>Projects for Assistance in Transition from Homelessness (PATH)</t>
  </si>
  <si>
    <t>Program for Assertive Community Treatment (PACT)</t>
  </si>
  <si>
    <t>Justice involved services</t>
  </si>
  <si>
    <t xml:space="preserve">Legal services </t>
  </si>
  <si>
    <t>Intensive family support services</t>
  </si>
  <si>
    <t>Non-client specific programs</t>
  </si>
  <si>
    <t xml:space="preserve">Total, state billable average daily population, county psychiatric hospitals (c) </t>
  </si>
  <si>
    <t>Bergen acute units (d)</t>
  </si>
  <si>
    <t>Bergen other</t>
  </si>
  <si>
    <t>Essex</t>
  </si>
  <si>
    <t>Hudson</t>
  </si>
  <si>
    <t>Union</t>
  </si>
  <si>
    <t xml:space="preserve">Addiction Services </t>
  </si>
  <si>
    <t>Admissions</t>
  </si>
  <si>
    <t>By Level of care:</t>
  </si>
  <si>
    <t>Ambulatory</t>
  </si>
  <si>
    <t>Detox</t>
  </si>
  <si>
    <t>Other</t>
  </si>
  <si>
    <t>Total</t>
  </si>
  <si>
    <t>By Primary drug:</t>
  </si>
  <si>
    <t>Alcohol</t>
  </si>
  <si>
    <t>Heroin</t>
  </si>
  <si>
    <t>Other opiate</t>
  </si>
  <si>
    <t>Other drugs</t>
  </si>
  <si>
    <t>Unknown (e)</t>
  </si>
  <si>
    <t xml:space="preserve">Total unique clients served </t>
  </si>
  <si>
    <t>Addiction Services</t>
  </si>
  <si>
    <t>In fiscal 2017, the Division of Mental Health and Addiction Services (DMHAS) began to transition the majority of its mental health and addiction services to a fee-for-service reimbursement structure from a contract-based approach.  Evaluation data for clients and spending for fiscal 2017, 2018 and 2019 therefore reflect a combination of projections and actual results from both reimbursement methodologies.</t>
  </si>
  <si>
    <t>(a) "Cost to State" refers only to the State portion of the costs in each program incurred by the Community Care, Olmstead Support Services and Behavioral Rate Increase accounts.  Additional funds for these programs are available from other divisions and funding sources and the mix of State and other funding sources is subject to change from year to year.</t>
  </si>
  <si>
    <t>(b) These funds are transferred to Health Planning and Evaluation within the Department of Health to fund Short-Term Care Facility beds and supplement appropriations from the Health Care Subsidy Fund.</t>
  </si>
  <si>
    <t>(c) County hospital billable average daily population figures represent the average days billable to DMHAS under the State Aid program and exclude other patient days that the facility may bill to other payers.</t>
  </si>
  <si>
    <t xml:space="preserve">(d) Bergen County Hospital has several acute units including a licensed short term care facility unit (STCF) which none of the other county hospitals have. The acute units were separated from all other units in this data to allow a more accurate comparison across hospitals. </t>
  </si>
  <si>
    <t>(e) Beginning in fiscal 2016, reporting of primary drug was made mandatory at admission; therefore, the unknown category is reduced.</t>
  </si>
  <si>
    <t>Patient Care and Health Services</t>
  </si>
  <si>
    <t>Greystone Park Psychiatric Hospital</t>
  </si>
  <si>
    <t>Total admissions</t>
  </si>
  <si>
    <t xml:space="preserve">Readmissions </t>
  </si>
  <si>
    <t>All other admissions, including transfers</t>
  </si>
  <si>
    <t>Total terminations, including transfers</t>
  </si>
  <si>
    <t>Ratio: population/total positions</t>
  </si>
  <si>
    <t>0.4 / 1</t>
  </si>
  <si>
    <t>0.5 / 1</t>
  </si>
  <si>
    <t>Trenton Psychiatric Hospital</t>
  </si>
  <si>
    <t>Readmissions</t>
  </si>
  <si>
    <t>Ratio: Population/total positions</t>
  </si>
  <si>
    <t>Ann Klein Forensic Center</t>
  </si>
  <si>
    <t xml:space="preserve">All other admissions, including transfers </t>
  </si>
  <si>
    <t>0.3 / 1</t>
  </si>
  <si>
    <t>Ancora Psychiatric Hospital</t>
  </si>
  <si>
    <t>Filled positions by Funding Source</t>
  </si>
  <si>
    <t>State Supported</t>
  </si>
  <si>
    <t>All Other</t>
  </si>
  <si>
    <t>Arthur Brisbane Child Treatment Center</t>
  </si>
  <si>
    <t>Senator Garrett W. Hagedorn Gero-Psychiatric Hospital</t>
  </si>
  <si>
    <t xml:space="preserve">Department Of Health </t>
  </si>
  <si>
    <t>25</t>
  </si>
  <si>
    <t>Health Administration</t>
  </si>
  <si>
    <t>54</t>
  </si>
  <si>
    <t>Department Of Human Services</t>
  </si>
  <si>
    <t>24</t>
  </si>
  <si>
    <t>Special Health Services</t>
  </si>
  <si>
    <t>7540</t>
  </si>
  <si>
    <t>Title XIX Eligibility Groups (50% Federal Matching Rate)</t>
  </si>
  <si>
    <t>Aged, Blind and Disabled (ABD) with Medicare</t>
  </si>
  <si>
    <t xml:space="preserve">Average monthly enrollment </t>
  </si>
  <si>
    <t>Average cost/client/year</t>
  </si>
  <si>
    <t xml:space="preserve">Total ABD dual eligible </t>
  </si>
  <si>
    <t>Aged, Blind and Disabled (ABD) without Medicare</t>
  </si>
  <si>
    <t>Total ABD non-dual eligible</t>
  </si>
  <si>
    <r>
      <t>Nursing Home Residents</t>
    </r>
    <r>
      <rPr>
        <vertAlign val="superscript"/>
        <sz val="10"/>
        <color indexed="8"/>
        <rFont val="Arial"/>
        <family val="2"/>
      </rPr>
      <t xml:space="preserve"> (a)</t>
    </r>
  </si>
  <si>
    <t>Total nursing home residents</t>
  </si>
  <si>
    <r>
      <t xml:space="preserve">Community-Based Recipients </t>
    </r>
    <r>
      <rPr>
        <vertAlign val="superscript"/>
        <sz val="10"/>
        <color indexed="8"/>
        <rFont val="Arial"/>
        <family val="2"/>
      </rPr>
      <t>(a)</t>
    </r>
  </si>
  <si>
    <t>Total community-based recipients</t>
  </si>
  <si>
    <t>Title XIX Parents</t>
  </si>
  <si>
    <t>Total Title XIX adults</t>
  </si>
  <si>
    <t>Title XIX Children</t>
  </si>
  <si>
    <t>Total Title XIX children</t>
  </si>
  <si>
    <r>
      <t xml:space="preserve">Title XIX ACA Expansion Eligibility Groups (100%/95%/94%/93% Federal Matching Rate) </t>
    </r>
    <r>
      <rPr>
        <b/>
        <vertAlign val="superscript"/>
        <sz val="10"/>
        <rFont val="Arial"/>
        <family val="2"/>
      </rPr>
      <t>(b)</t>
    </r>
  </si>
  <si>
    <t>Expansion Childless Adults</t>
  </si>
  <si>
    <t>Total expansion childless adults</t>
  </si>
  <si>
    <t>Expansion Parents</t>
  </si>
  <si>
    <t>Total expansion parents</t>
  </si>
  <si>
    <t>Total Title XIX costs</t>
  </si>
  <si>
    <t>State funding</t>
  </si>
  <si>
    <t>Health Care Subsidy Fund</t>
  </si>
  <si>
    <t>Federal funding</t>
  </si>
  <si>
    <t>Title XXI Eligibility Groups (88% Federal Matching Rate)</t>
  </si>
  <si>
    <t>Children's Health Insurance Program - 107% to 142% of the Federal Poverty Level</t>
  </si>
  <si>
    <t>Total M-CHIP group</t>
  </si>
  <si>
    <t>Children's Health Insurance Program - 142% to 350% of the Federal Poverty Level</t>
  </si>
  <si>
    <t>Total S-CHIP group</t>
  </si>
  <si>
    <t>Total Title XXI costs</t>
  </si>
  <si>
    <t>Client cost share</t>
  </si>
  <si>
    <t>Less: offsetting resources</t>
  </si>
  <si>
    <t>Pharmaceutical manufacturer rebates</t>
  </si>
  <si>
    <t>Cost recoveries</t>
  </si>
  <si>
    <r>
      <t xml:space="preserve">Prior year resources </t>
    </r>
    <r>
      <rPr>
        <vertAlign val="superscript"/>
        <sz val="10"/>
        <color indexed="8"/>
        <rFont val="Arial"/>
        <family val="2"/>
      </rPr>
      <t>(c)</t>
    </r>
  </si>
  <si>
    <t>Nursing Home Provider Assessment</t>
  </si>
  <si>
    <t>Total managed care and fee-for-service costs</t>
  </si>
  <si>
    <t xml:space="preserve">Other Associated Costs </t>
  </si>
  <si>
    <t>Medicare Parts A and B premiums</t>
  </si>
  <si>
    <t>Medicare Part D premiums</t>
  </si>
  <si>
    <r>
      <t xml:space="preserve">ACA Health Insurance Providers Fee </t>
    </r>
    <r>
      <rPr>
        <vertAlign val="superscript"/>
        <sz val="10"/>
        <color indexed="8"/>
        <rFont val="Arial"/>
        <family val="2"/>
      </rPr>
      <t>(d)</t>
    </r>
  </si>
  <si>
    <t>Provider settlements and adjustments</t>
  </si>
  <si>
    <t>Eligibility and enrollment services</t>
  </si>
  <si>
    <t>Hospital Mental Health Offset Payments</t>
  </si>
  <si>
    <t>Total other associated costs and credits</t>
  </si>
  <si>
    <t>Grand total cost all groups</t>
  </si>
  <si>
    <t>Grand total average monthly enrollment</t>
  </si>
  <si>
    <r>
      <t xml:space="preserve">Spending for Select Service Categories </t>
    </r>
    <r>
      <rPr>
        <b/>
        <vertAlign val="superscript"/>
        <sz val="10"/>
        <rFont val="Arial"/>
        <family val="2"/>
      </rPr>
      <t>(e)</t>
    </r>
  </si>
  <si>
    <t>Hospital services</t>
  </si>
  <si>
    <t>Average monthly visits</t>
  </si>
  <si>
    <t>Average cost per visit</t>
  </si>
  <si>
    <t>Total hospital services</t>
  </si>
  <si>
    <t>Prescription drugs</t>
  </si>
  <si>
    <t>Number of prescriptions</t>
  </si>
  <si>
    <t>Average cost per prescription</t>
  </si>
  <si>
    <t>Total prescription drug cost</t>
  </si>
  <si>
    <t>Nursing home services</t>
  </si>
  <si>
    <t>Average monthly residents</t>
  </si>
  <si>
    <t>Average cost/client/month</t>
  </si>
  <si>
    <t>Total nursing home services</t>
  </si>
  <si>
    <t>Community-based long term care services</t>
  </si>
  <si>
    <t>Average monthly clients</t>
  </si>
  <si>
    <t>Total community-based services</t>
  </si>
  <si>
    <t>Program of All-inclusive Care for the Elderly (PACE)</t>
  </si>
  <si>
    <t>Total PACE services</t>
  </si>
  <si>
    <t>Health Services Administration and Management</t>
  </si>
  <si>
    <t>(a) Amounts for nursing home and community-based residents represent all costs, including acute care services.</t>
  </si>
  <si>
    <t>(b) Federal match rate for calendar years 2014 through 2016 was 100%, and the match rate was 95% in 2017. In 2018 the match rate is 94%, and in 2019 the match rate will decline to 93%, as outlined in the Affordable Care Act.</t>
  </si>
  <si>
    <t>(c) In the two fiscal years displaying actual expenditures, any available prior year resources are included within the State funding row.</t>
  </si>
  <si>
    <t>(d) There was a one-year federal moratorium of the ACA Health Insurance Providers Fee.</t>
  </si>
  <si>
    <t>(e) Costs for these services are included within the total expenditures by eligibility group.</t>
  </si>
  <si>
    <t>Pharmaceutical Assistance to the Aged and Disabled</t>
  </si>
  <si>
    <t>Pharmaceutical Assistance to the Aged (PAA) only:</t>
  </si>
  <si>
    <t>Average monthly eligibles</t>
  </si>
  <si>
    <t>Average monthly prescriptions per eligible</t>
  </si>
  <si>
    <t>Cost per prescription (excludes cost sharing)</t>
  </si>
  <si>
    <t>Annual cost</t>
  </si>
  <si>
    <t>Pharmaceutical Assistance to the Aged &amp; Disabled (PAAD) only:</t>
  </si>
  <si>
    <t>Aged</t>
  </si>
  <si>
    <t>Gross cost PAAD program (Aged only)</t>
  </si>
  <si>
    <t>Disabled</t>
  </si>
  <si>
    <t>Gross cost PAAD program (Disabled only)</t>
  </si>
  <si>
    <t>Total State PAAD costs</t>
  </si>
  <si>
    <t>Prescription drug expenses</t>
  </si>
  <si>
    <t>Payments for Medicare Part D monthly premiums</t>
  </si>
  <si>
    <t xml:space="preserve">PAAD manufacturers' rebates </t>
  </si>
  <si>
    <t>PAAD recoveries</t>
  </si>
  <si>
    <t>Net annual cost</t>
  </si>
  <si>
    <t>Total General Fund</t>
  </si>
  <si>
    <t>Total Casino Revenue Fund</t>
  </si>
  <si>
    <t>Senior Gold Prescription Discount Program</t>
  </si>
  <si>
    <t>Gross cost Senior Gold program (Aged only)</t>
  </si>
  <si>
    <t>Gross cost Senior Gold program (Disabled only)</t>
  </si>
  <si>
    <t>Total State Senior Gold costs</t>
  </si>
  <si>
    <t>Gross annual cost Senior Gold</t>
  </si>
  <si>
    <t>Manufacturers' rebates</t>
  </si>
  <si>
    <t>Total General Fund (a)</t>
  </si>
  <si>
    <t xml:space="preserve">Programs for the Aged </t>
  </si>
  <si>
    <t>Services and service units provided:</t>
  </si>
  <si>
    <t>Congregate meals service</t>
  </si>
  <si>
    <t>Home delivered meals service</t>
  </si>
  <si>
    <t>Transportation service</t>
  </si>
  <si>
    <t>Information and referral service</t>
  </si>
  <si>
    <t>Telephone reassurance service</t>
  </si>
  <si>
    <t>Outreach service</t>
  </si>
  <si>
    <t>Personal care service</t>
  </si>
  <si>
    <t>Legal service</t>
  </si>
  <si>
    <t>Housekeeping and chore services</t>
  </si>
  <si>
    <t xml:space="preserve">Education and training services </t>
  </si>
  <si>
    <t>Case management service</t>
  </si>
  <si>
    <t>Physical health services</t>
  </si>
  <si>
    <t>Congregate Housing Services Program</t>
  </si>
  <si>
    <t>Persons served</t>
  </si>
  <si>
    <t>Site locations</t>
  </si>
  <si>
    <t>Adult Protective Services</t>
  </si>
  <si>
    <t>Health Insurance Counseling</t>
  </si>
  <si>
    <t>Security Housing and Transportation</t>
  </si>
  <si>
    <t>Gerontology services</t>
  </si>
  <si>
    <t>Geriatric patients served</t>
  </si>
  <si>
    <t>Alzheimer's day care units provided</t>
  </si>
  <si>
    <t>Persons trained in gerontology</t>
  </si>
  <si>
    <t>Caregivers receiving respite care</t>
  </si>
  <si>
    <t>Care to Caregivers</t>
  </si>
  <si>
    <t xml:space="preserve">Office of the Public Guardian </t>
  </si>
  <si>
    <t xml:space="preserve">Number of inquiries </t>
  </si>
  <si>
    <t>Number of cases handled</t>
  </si>
  <si>
    <t>Number of court-appointed cases</t>
  </si>
  <si>
    <t>Medical Services for the Aged</t>
  </si>
  <si>
    <t>Pharmaceutical Assistance to the Aged &amp; Disabled</t>
  </si>
  <si>
    <t>Lifeline</t>
  </si>
  <si>
    <t>Programs for the Aged</t>
  </si>
  <si>
    <t>Office of the Public Guardian</t>
  </si>
  <si>
    <t>(a) Excludes $2,850,000 appropriated for administration.</t>
  </si>
  <si>
    <t>27</t>
  </si>
  <si>
    <t>Disability Services</t>
  </si>
  <si>
    <t>7545</t>
  </si>
  <si>
    <t>Personal Assistance Services Program</t>
  </si>
  <si>
    <t>Number of clients</t>
  </si>
  <si>
    <t>Actual payroll counts are reported for fiscal years 2016 and 2017 as of December and revised fiscal 2018 as of January.  The Budget Estimate for fiscal 2019 reflects the number of positions funded.</t>
  </si>
  <si>
    <t>7601</t>
  </si>
  <si>
    <t>Average Monthly Census by Selected Community Residence (a)</t>
  </si>
  <si>
    <t>Community Care Residence</t>
  </si>
  <si>
    <t>Group Home/Supervised Apartment</t>
  </si>
  <si>
    <t>Own Home</t>
  </si>
  <si>
    <t>Waiver Services - Gross Budget (b)(c)</t>
  </si>
  <si>
    <t>Community Care Program (CCP)</t>
  </si>
  <si>
    <t>Average monthly enrollment</t>
  </si>
  <si>
    <t>Average cost per individual</t>
  </si>
  <si>
    <t>Total program cost (matchable expenditures only)</t>
  </si>
  <si>
    <t>Supports Program (SP)</t>
  </si>
  <si>
    <t xml:space="preserve">Average cost per individual </t>
  </si>
  <si>
    <t xml:space="preserve">Total program cost (matchable expenditures only) </t>
  </si>
  <si>
    <t>Waiver Programs - Average Monthly Fee-for-Services Utilization (Unique Recipients) (b)(d)</t>
  </si>
  <si>
    <t xml:space="preserve">Behavioral Supports </t>
  </si>
  <si>
    <t xml:space="preserve">Career Planning </t>
  </si>
  <si>
    <t xml:space="preserve">Community Based Supports </t>
  </si>
  <si>
    <t>Day Habilitation</t>
  </si>
  <si>
    <t>Individual Supports</t>
  </si>
  <si>
    <t>Prevocational Training</t>
  </si>
  <si>
    <t>Supported Coordination</t>
  </si>
  <si>
    <t>Supported Employment</t>
  </si>
  <si>
    <t>Initiative Evaluation Data</t>
  </si>
  <si>
    <t>Community Services Waiting List (CSWL)</t>
  </si>
  <si>
    <t>Total number in priority category</t>
  </si>
  <si>
    <t>Gross annual program cost</t>
  </si>
  <si>
    <t>Individuals Transitioned from Institutions (Olmstead)</t>
  </si>
  <si>
    <t>Total number transitioned to the community</t>
  </si>
  <si>
    <t>Average annual cost per individual</t>
  </si>
  <si>
    <t>Vouchers Managed by the Supportive Housing Connection (d)</t>
  </si>
  <si>
    <t>Total number of vouchers</t>
  </si>
  <si>
    <t>Out-of-State Placements</t>
  </si>
  <si>
    <t>Average monthly census</t>
  </si>
  <si>
    <t>Gross annual program budget</t>
  </si>
  <si>
    <t xml:space="preserve">Filled positions by funding source </t>
  </si>
  <si>
    <t xml:space="preserve">Filled positions by program class </t>
  </si>
  <si>
    <t xml:space="preserve">Actual payroll counts are reported for fiscal years 2016 and 2017 as of December and revised fiscal 2018 as of January.  The budget estimate for fiscal 2019 reflects the number of positions funded.   </t>
  </si>
  <si>
    <t>(a) Includes individuals in all programs.</t>
  </si>
  <si>
    <t>(b) Includes only individuals and services eligible for fee-for-service reimbursement under federal Medicaid waiver programs.</t>
  </si>
  <si>
    <t>(c) Average cost per individual includes partial-year phase in of new participants.</t>
  </si>
  <si>
    <t>(d) Individuals may be in more than one category.</t>
  </si>
  <si>
    <t xml:space="preserve">Residential Care and Habilitation Services </t>
  </si>
  <si>
    <t>Green Brook Regional Center</t>
  </si>
  <si>
    <t>Ratio:  total positions/population</t>
  </si>
  <si>
    <t>2.7 / 1</t>
  </si>
  <si>
    <t>2.9 / 1</t>
  </si>
  <si>
    <t>3.2 / 1</t>
  </si>
  <si>
    <t>3.3 / 1</t>
  </si>
  <si>
    <t>Gross per capitas</t>
  </si>
  <si>
    <t>Annual</t>
  </si>
  <si>
    <t>Daily</t>
  </si>
  <si>
    <t xml:space="preserve">Vineland Developmental Center </t>
  </si>
  <si>
    <t>3.4 / 1</t>
  </si>
  <si>
    <t>3.5 / 1</t>
  </si>
  <si>
    <t>Woodbine Developmental Center</t>
  </si>
  <si>
    <t>3.7 / 1</t>
  </si>
  <si>
    <t>3.6 / 1</t>
  </si>
  <si>
    <t>New Lisbon Developmental Center</t>
  </si>
  <si>
    <t>3.1 / 1</t>
  </si>
  <si>
    <t>2.8 / 1</t>
  </si>
  <si>
    <t>Hunterdon Developmental Center</t>
  </si>
  <si>
    <t>2.4 / 1</t>
  </si>
  <si>
    <t>2.5 / 1</t>
  </si>
  <si>
    <t>Residential Care and Habilitation</t>
  </si>
  <si>
    <t>Vineland Developmental Center</t>
  </si>
  <si>
    <t>North Jersey Developmental Center</t>
  </si>
  <si>
    <t>Residential Care and Habilitation Services</t>
  </si>
  <si>
    <t>Woodbridge Developmental Center</t>
  </si>
  <si>
    <t>Institutional Total (a)</t>
  </si>
  <si>
    <t>7560</t>
  </si>
  <si>
    <t>Services for the Blind and Visually Impaired</t>
  </si>
  <si>
    <t>Vocational rehabilitation</t>
  </si>
  <si>
    <t>Clients rehabilitated</t>
  </si>
  <si>
    <t>Wage-earners</t>
  </si>
  <si>
    <t>Homemakers</t>
  </si>
  <si>
    <t>Average annual income after rehabilitation</t>
  </si>
  <si>
    <t>Average cost per client served</t>
  </si>
  <si>
    <t>Average cost per client rehabilitated</t>
  </si>
  <si>
    <t>Rehabilitations per counselor</t>
  </si>
  <si>
    <t>Community service (state habilitation)</t>
  </si>
  <si>
    <t>Total clients receiving independent living services</t>
  </si>
  <si>
    <t>Clients receiving orientation and mobility instruction</t>
  </si>
  <si>
    <t>Clients receiving basic life skills instruction</t>
  </si>
  <si>
    <t>Clients over 65 (non-VR)</t>
  </si>
  <si>
    <t>Prevention</t>
  </si>
  <si>
    <t>Total persons screened</t>
  </si>
  <si>
    <t>Adult vision screenings</t>
  </si>
  <si>
    <t>Preschool vision screenings</t>
  </si>
  <si>
    <t>Mobile screenings</t>
  </si>
  <si>
    <t>Diabetic screenings</t>
  </si>
  <si>
    <t>Referred for further evaluations</t>
  </si>
  <si>
    <t>Referred to Commission for the Blind and Visually Impaired</t>
  </si>
  <si>
    <t>Eye health case services</t>
  </si>
  <si>
    <t>Low vision services</t>
  </si>
  <si>
    <t>Instruction</t>
  </si>
  <si>
    <t>Total clients receiving educational services</t>
  </si>
  <si>
    <t>Preschool children receiving itinerant services</t>
  </si>
  <si>
    <t>Total number of school-aged children receiving itinerant services</t>
  </si>
  <si>
    <t>Average lesson hours per teacher</t>
  </si>
  <si>
    <t>53</t>
  </si>
  <si>
    <t>7550</t>
  </si>
  <si>
    <t>Income Maintenance Management</t>
  </si>
  <si>
    <t>General Assistance</t>
  </si>
  <si>
    <t>Employable</t>
  </si>
  <si>
    <t>Average monthly recipients</t>
  </si>
  <si>
    <t>Average monthly grant</t>
  </si>
  <si>
    <t>Burials</t>
  </si>
  <si>
    <t>State expenditures</t>
  </si>
  <si>
    <t>Unemployable</t>
  </si>
  <si>
    <t>Emergency Assistance Program</t>
  </si>
  <si>
    <t>Refunds to assistance</t>
  </si>
  <si>
    <t>Work First New Jersey</t>
  </si>
  <si>
    <t>Less: Credits</t>
  </si>
  <si>
    <t>Less: Recoveries</t>
  </si>
  <si>
    <t>Less: 50% gross child support collections</t>
  </si>
  <si>
    <t>Add: Child support disregards</t>
  </si>
  <si>
    <t>Add: Burials</t>
  </si>
  <si>
    <t>Total Work First New Jersey costs</t>
  </si>
  <si>
    <t>Less: Work First New Jersey county expenditures</t>
  </si>
  <si>
    <t>State Work First New Jersey expenditures</t>
  </si>
  <si>
    <t>Emergency Assistance</t>
  </si>
  <si>
    <t>Net emergency assistance costs</t>
  </si>
  <si>
    <t>Less: County expenditures</t>
  </si>
  <si>
    <t>Supplemental Security Income (SSI)</t>
  </si>
  <si>
    <t>Emergency Assistance recipients</t>
  </si>
  <si>
    <t>&lt;SP&gt;&lt;SP&gt;&lt;SP&gt;&lt;SP&gt;Less: Recoveries</t>
  </si>
  <si>
    <t>&lt;SP&gt;&lt;SP&gt;&lt;SP&gt;&lt;SP&gt;&lt;SP&gt;&lt;SP&gt;&lt;SP&gt;&lt;SP&gt;Burials</t>
  </si>
  <si>
    <t>Net SSI expenditures</t>
  </si>
  <si>
    <t>SSI Administrative Expenses</t>
  </si>
  <si>
    <t>Supplemental Nutrition Assistance Program</t>
  </si>
  <si>
    <t>Average monthly households participating</t>
  </si>
  <si>
    <t>Percent of total authorized households participating</t>
  </si>
  <si>
    <t>Average monthly recipients participating</t>
  </si>
  <si>
    <t>Total value of bonus coupons</t>
  </si>
  <si>
    <t>Average monthly value of bonus coupons per person participating</t>
  </si>
  <si>
    <t>Child Care Payments for eligible families</t>
  </si>
  <si>
    <t>Low income families in Child Care Assistance Program</t>
  </si>
  <si>
    <t>Average monthly children</t>
  </si>
  <si>
    <t>Total expenditures</t>
  </si>
  <si>
    <t>Children placed through protective services</t>
  </si>
  <si>
    <t>Active Temporary Assistance for Needy Families (TANF) recipients in work activity</t>
  </si>
  <si>
    <t>Transitional child care services</t>
  </si>
  <si>
    <t>Abbott Child Care Services</t>
  </si>
  <si>
    <t>Post Transitional Child Care</t>
  </si>
  <si>
    <t>Kinship Child Care</t>
  </si>
  <si>
    <t>Post Adoption Child Care</t>
  </si>
  <si>
    <t>Total Child Care Payments for eligible families</t>
  </si>
  <si>
    <t>(a) Administration of the SSI program will be transitioned from the federal Social Security Administration to the State of Pennsylvania during fiscal 2019.</t>
  </si>
  <si>
    <t>7580</t>
  </si>
  <si>
    <t>Services for the Deaf</t>
  </si>
  <si>
    <t>Total hearing impaired population</t>
  </si>
  <si>
    <t>Deaf population</t>
  </si>
  <si>
    <t>Persons served by Interpreter Referral Program</t>
  </si>
  <si>
    <t>Interpreter requests</t>
  </si>
  <si>
    <t>Newsletter subscribers</t>
  </si>
  <si>
    <t>Telecommunication Devices Distributed</t>
  </si>
  <si>
    <t>Newsletter Distribution</t>
  </si>
  <si>
    <t xml:space="preserve">Equipment distribution program - devices distributed </t>
  </si>
  <si>
    <t xml:space="preserve">Communication access coordination (number of requests for sign language interpreters/captioners) </t>
  </si>
  <si>
    <t xml:space="preserve">Case management services (client issues resolved) </t>
  </si>
  <si>
    <t xml:space="preserve">Information and referral (number of client inquiries) </t>
  </si>
  <si>
    <t>7500</t>
  </si>
  <si>
    <t>Division of Management and Budget</t>
  </si>
  <si>
    <t xml:space="preserve">Total minority  </t>
  </si>
  <si>
    <t>Institutional Security Services</t>
  </si>
  <si>
    <t>62</t>
  </si>
  <si>
    <t>Department Of Labor And Workforce Development</t>
  </si>
  <si>
    <t>51</t>
  </si>
  <si>
    <t>Economic Planning and Development</t>
  </si>
  <si>
    <r>
      <t>Affirmative Action data</t>
    </r>
    <r>
      <rPr>
        <vertAlign val="superscript"/>
        <sz val="10"/>
        <rFont val="Arial"/>
        <family val="2"/>
      </rPr>
      <t xml:space="preserve"> (a)</t>
    </r>
  </si>
  <si>
    <t>Research and Information</t>
  </si>
  <si>
    <t>(a) Affirmative action data includes all of Labor and Workforce Development except the Civil Service Commission, which is reported separately.</t>
  </si>
  <si>
    <t>Unemployment Insurance</t>
  </si>
  <si>
    <t>Unemployment Insurance program</t>
  </si>
  <si>
    <t>Covered workers</t>
  </si>
  <si>
    <t>Net benefits paid (millions) (a)</t>
  </si>
  <si>
    <t>Average insured unemployed rate</t>
  </si>
  <si>
    <t>Initial claims</t>
  </si>
  <si>
    <t>Average weekly benefit payment</t>
  </si>
  <si>
    <t>Disability Determination</t>
  </si>
  <si>
    <t>Total claims adjudicated</t>
  </si>
  <si>
    <t>Social Security Disability payments (millions) (b)</t>
  </si>
  <si>
    <t>Average cost per case</t>
  </si>
  <si>
    <t>State Disability Insurance Plan</t>
  </si>
  <si>
    <t>Claims received</t>
  </si>
  <si>
    <t>Benefits paid (millions)</t>
  </si>
  <si>
    <t>Cost per claim processed</t>
  </si>
  <si>
    <t>Private Disability Insurance Plan</t>
  </si>
  <si>
    <t>Plans in force</t>
  </si>
  <si>
    <t>Disability During Unemployment</t>
  </si>
  <si>
    <t>Family Leave Insurance</t>
  </si>
  <si>
    <t>State Plan</t>
  </si>
  <si>
    <t>Private Plan</t>
  </si>
  <si>
    <t xml:space="preserve">Workers' Compensation </t>
  </si>
  <si>
    <t>First reports of accident received</t>
  </si>
  <si>
    <t>Cases pending July l</t>
  </si>
  <si>
    <t>Cases filed, reopened, reassigned</t>
  </si>
  <si>
    <t>Cases closed</t>
  </si>
  <si>
    <t>Cases pending June 30</t>
  </si>
  <si>
    <t>Special Compensation</t>
  </si>
  <si>
    <t>Balance July l</t>
  </si>
  <si>
    <t>Verified petitions assigned</t>
  </si>
  <si>
    <t>Advisory reports recovered</t>
  </si>
  <si>
    <t>Balance June 30</t>
  </si>
  <si>
    <t>Beneficiaries</t>
  </si>
  <si>
    <t>Workers' Compensation</t>
  </si>
  <si>
    <t>(a) Includes Additional Benefits During Training (ABT) under the Workforce Development Partnership Program.</t>
  </si>
  <si>
    <t>(b) Paid by the federal Social Security Administration.</t>
  </si>
  <si>
    <t>Vocational Rehabilitation Services</t>
  </si>
  <si>
    <t>Total persons served</t>
  </si>
  <si>
    <t>Total continuing to be served</t>
  </si>
  <si>
    <t>Total persons rehabilitated</t>
  </si>
  <si>
    <t>Average cost per rehabilitation</t>
  </si>
  <si>
    <t>Earnings (weekly)</t>
  </si>
  <si>
    <t>Before rehabilitation</t>
  </si>
  <si>
    <t>After rehabilitation</t>
  </si>
  <si>
    <t>Sheltered Workshops</t>
  </si>
  <si>
    <t xml:space="preserve">Client slots </t>
  </si>
  <si>
    <t xml:space="preserve">Appropriation per client slot </t>
  </si>
  <si>
    <t>Independent Living Rehabilitation</t>
  </si>
  <si>
    <t>Cost per person</t>
  </si>
  <si>
    <t>Employment Services</t>
  </si>
  <si>
    <t>Job openings received</t>
  </si>
  <si>
    <t>Individuals entered employment</t>
  </si>
  <si>
    <t>Individuals receiving career guidance</t>
  </si>
  <si>
    <t>Disabled Veterans Outreach program</t>
  </si>
  <si>
    <t>Veterans entered employment</t>
  </si>
  <si>
    <t>Veterans receiving career guidance</t>
  </si>
  <si>
    <t>Employment and Training Services</t>
  </si>
  <si>
    <t>Workforce Development Partnership Project</t>
  </si>
  <si>
    <t xml:space="preserve">Customized training grants (millions) </t>
  </si>
  <si>
    <t>Individuals trained</t>
  </si>
  <si>
    <t>Cost per individual</t>
  </si>
  <si>
    <t>Companies served</t>
  </si>
  <si>
    <t xml:space="preserve">Individual training grants-displaced workers (millions) </t>
  </si>
  <si>
    <t xml:space="preserve">Cost per individual </t>
  </si>
  <si>
    <t>Workforce Investment Act</t>
  </si>
  <si>
    <t xml:space="preserve">Total participants </t>
  </si>
  <si>
    <t xml:space="preserve">Total job placements </t>
  </si>
  <si>
    <t>Work First New Jersey (WFNJ) Activities (a)</t>
  </si>
  <si>
    <t xml:space="preserve">Individuals receiving Temporary Assistance for Needy </t>
  </si>
  <si>
    <t>Families (TANF) participating in:</t>
  </si>
  <si>
    <t>Educational programs</t>
  </si>
  <si>
    <t>Job search activities</t>
  </si>
  <si>
    <t>On-the-job training</t>
  </si>
  <si>
    <t>Vocational training programs</t>
  </si>
  <si>
    <t>Community Work Experience Program</t>
  </si>
  <si>
    <t>Individuals receiving General Assistance (GA), and/or</t>
  </si>
  <si>
    <t>Food Stamps, participating in:</t>
  </si>
  <si>
    <t>Community Work Experience program</t>
  </si>
  <si>
    <t>Cases closed due to employment</t>
  </si>
  <si>
    <t>Temporary Assistance for Needy Families (TANF)</t>
  </si>
  <si>
    <t>General Assistance (GA)</t>
  </si>
  <si>
    <t>Workplace Standards</t>
  </si>
  <si>
    <t>Mine, pit, quarry and explosive inspections</t>
  </si>
  <si>
    <t>Mechanical Inspection</t>
  </si>
  <si>
    <t>Boilers inspected by State</t>
  </si>
  <si>
    <t>Boilers inspected by insurance inspectors</t>
  </si>
  <si>
    <t>Asbestos Control and Licensing</t>
  </si>
  <si>
    <t>Employer licenses issued</t>
  </si>
  <si>
    <t>Employee permits issued</t>
  </si>
  <si>
    <t xml:space="preserve">Crane Operator Inspections </t>
  </si>
  <si>
    <t>OSHA On-site Consultant Services</t>
  </si>
  <si>
    <t>Consultations</t>
  </si>
  <si>
    <t>Hazards identified</t>
  </si>
  <si>
    <t>Mine Safety Training</t>
  </si>
  <si>
    <t>Persons trained</t>
  </si>
  <si>
    <t>Wage and Hour, Child Labor, and Public Contracts</t>
  </si>
  <si>
    <t>Formal complaints filed</t>
  </si>
  <si>
    <t>Employees receiving back wages</t>
  </si>
  <si>
    <t>Net back wages paid to employees (millions)</t>
  </si>
  <si>
    <t>Public Employees Safety</t>
  </si>
  <si>
    <t>Apparel Registration</t>
  </si>
  <si>
    <t>Registrations issued</t>
  </si>
  <si>
    <t>Firms with violations</t>
  </si>
  <si>
    <t>Public Works Contractor Registration Act</t>
  </si>
  <si>
    <t>Public Sector Labor Relations</t>
  </si>
  <si>
    <t>Dispute Disposition</t>
  </si>
  <si>
    <t>Filed</t>
  </si>
  <si>
    <t>Disposed</t>
  </si>
  <si>
    <t>Unfair practices and representation</t>
  </si>
  <si>
    <t>Mediation, fact-finding and arbitration</t>
  </si>
  <si>
    <t>Scope of negotiation and issue definition</t>
  </si>
  <si>
    <t>Other formal decisions</t>
  </si>
  <si>
    <t>Appeal Board</t>
  </si>
  <si>
    <t>Balance July 1</t>
  </si>
  <si>
    <t xml:space="preserve">Petitions filed </t>
  </si>
  <si>
    <t>Petitions disposed</t>
  </si>
  <si>
    <t>Position data</t>
  </si>
  <si>
    <t>Private Sector Labor Relations</t>
  </si>
  <si>
    <t>(a) Temporary Assistance to Needy Families (TANF) and General Assistance (GA) data provided by the Department of Human Services, Division of Family Development (DFD).</t>
  </si>
  <si>
    <t>(b) Decrease in fiscal 2016 due to vacancy in Mine Safety Program, which was filled mid-year.</t>
  </si>
  <si>
    <t>74</t>
  </si>
  <si>
    <t>General Administration, Agency Services, Test Development and Analytics</t>
  </si>
  <si>
    <t>Open competitive examinations announced</t>
  </si>
  <si>
    <t>Applications received</t>
  </si>
  <si>
    <t>Candidates scheduled</t>
  </si>
  <si>
    <t>Eligibles produced</t>
  </si>
  <si>
    <t>Appointments from certifications</t>
  </si>
  <si>
    <t>State service provisional appointees pending open competitive examination</t>
  </si>
  <si>
    <t>Promotional examinations announced</t>
  </si>
  <si>
    <t>Promotions made (State)</t>
  </si>
  <si>
    <t>Titles consolidated or abolished</t>
  </si>
  <si>
    <t xml:space="preserve">State service </t>
  </si>
  <si>
    <t>Local service</t>
  </si>
  <si>
    <t>Calendar days from request to test announcement</t>
  </si>
  <si>
    <t>Active job announcements older than 6 months</t>
  </si>
  <si>
    <t>Calendar days to date of list issuance - non-public safety</t>
  </si>
  <si>
    <t>Calendar days to date of list issuance - public safety</t>
  </si>
  <si>
    <t>Law enforcement open competitive</t>
  </si>
  <si>
    <t>Law enforcement promotional</t>
  </si>
  <si>
    <t>Fire service open competitive</t>
  </si>
  <si>
    <t>Fire service promotional</t>
  </si>
  <si>
    <t xml:space="preserve">Examinations developed and processed </t>
  </si>
  <si>
    <t>Assembled open competitive</t>
  </si>
  <si>
    <t>Assembled promotional</t>
  </si>
  <si>
    <t>Unassembled open competitive</t>
  </si>
  <si>
    <t>Unassembled promotional</t>
  </si>
  <si>
    <t>Lists issued</t>
  </si>
  <si>
    <t>Open Competitive examinations</t>
  </si>
  <si>
    <t>Promotional examinations</t>
  </si>
  <si>
    <t>Announcements processed under promotional</t>
  </si>
  <si>
    <t>Examination waivers</t>
  </si>
  <si>
    <t>State symbols</t>
  </si>
  <si>
    <t>Local symbols</t>
  </si>
  <si>
    <t>Separate test dates</t>
  </si>
  <si>
    <t>Applicants administered make-up examinations</t>
  </si>
  <si>
    <t>Applicants administered exam review</t>
  </si>
  <si>
    <t>Layoff plans acted upon within 30 days</t>
  </si>
  <si>
    <t>Workforce Initiatives and Employment Development</t>
  </si>
  <si>
    <t>Employee advisory service</t>
  </si>
  <si>
    <t>Number of counseling sessions</t>
  </si>
  <si>
    <t>Training</t>
  </si>
  <si>
    <t>Trainees, alternative technologies</t>
  </si>
  <si>
    <t>Contact hours, alternative technologies</t>
  </si>
  <si>
    <t>Trainees, classroom</t>
  </si>
  <si>
    <t>Contact hours, classroom</t>
  </si>
  <si>
    <t>Appeals and Regulatory Affairs</t>
  </si>
  <si>
    <t>Written record appeals</t>
  </si>
  <si>
    <t>Total received</t>
  </si>
  <si>
    <t>Total disposed</t>
  </si>
  <si>
    <t>Pending</t>
  </si>
  <si>
    <t>Written record appeals completed within 6 months</t>
  </si>
  <si>
    <t>Hearings and major disciplinary matters</t>
  </si>
  <si>
    <t>Actual payroll counts are reported for fiscal years 2016 and 2017 as of December and revised fiscal 2018 as of January. The budget estimate for fiscal year 2019 reflects the number of positions funded.</t>
  </si>
  <si>
    <t>66</t>
  </si>
  <si>
    <t>Department Of Law And Public Safety</t>
  </si>
  <si>
    <t>12</t>
  </si>
  <si>
    <t>State Police Operations</t>
  </si>
  <si>
    <t>Investigations</t>
  </si>
  <si>
    <t>Criminal</t>
  </si>
  <si>
    <t>Accident</t>
  </si>
  <si>
    <t>General</t>
  </si>
  <si>
    <t>Driving While Intoxicated (DWI) arrests</t>
  </si>
  <si>
    <t>Aid to motorists</t>
  </si>
  <si>
    <t>Commercial vehicles inspected</t>
  </si>
  <si>
    <t>Commercial vehicle inspection summonses</t>
  </si>
  <si>
    <t>Commercial vehicles weighed</t>
  </si>
  <si>
    <t>Commercial vehicle weight summonses</t>
  </si>
  <si>
    <t>Commercial vehicles taken out of service</t>
  </si>
  <si>
    <t>Intelligence section/Organized crime investigations</t>
  </si>
  <si>
    <t>Number of arrests</t>
  </si>
  <si>
    <t>Racetrack Unit investigations</t>
  </si>
  <si>
    <t>Polygraph examinations</t>
  </si>
  <si>
    <t>Arson investigations</t>
  </si>
  <si>
    <t>Property damage (in millions)</t>
  </si>
  <si>
    <t>Auto Unit investigations</t>
  </si>
  <si>
    <t>Auto Unit arrests</t>
  </si>
  <si>
    <t>Recovered vehicles</t>
  </si>
  <si>
    <t>Recovered property value (in millions)</t>
  </si>
  <si>
    <t>Major crime investigations</t>
  </si>
  <si>
    <r>
      <t xml:space="preserve">Fugitive investigations </t>
    </r>
    <r>
      <rPr>
        <vertAlign val="superscript"/>
        <sz val="10"/>
        <rFont val="Arial"/>
        <family val="2"/>
      </rPr>
      <t>(a)</t>
    </r>
  </si>
  <si>
    <t>Cleared by arrest</t>
  </si>
  <si>
    <t>Missing persons complaints</t>
  </si>
  <si>
    <t>Missing persons located</t>
  </si>
  <si>
    <t>Child exploitation investigations</t>
  </si>
  <si>
    <t>Cyber crimes investigations</t>
  </si>
  <si>
    <t>Unidentified persons investigations</t>
  </si>
  <si>
    <t>Solid/Hazardous waste investigations</t>
  </si>
  <si>
    <t>Approvals</t>
  </si>
  <si>
    <t>Rejections</t>
  </si>
  <si>
    <t>Firearms applications received</t>
  </si>
  <si>
    <t>Laboratory cases received</t>
  </si>
  <si>
    <t>Laboratory cases completed</t>
  </si>
  <si>
    <t>Crime scene investigations</t>
  </si>
  <si>
    <t>Laboratory cases received/DNA analysis</t>
  </si>
  <si>
    <t>Laboratory cases completed/DNA analysis</t>
  </si>
  <si>
    <t>Private detective licenses issued</t>
  </si>
  <si>
    <t>Private detective employee registrations</t>
  </si>
  <si>
    <t xml:space="preserve">Security Officer Registration Act (SORA) registrations </t>
  </si>
  <si>
    <t>SORA agency licenses</t>
  </si>
  <si>
    <t>Bounty hunter licenses</t>
  </si>
  <si>
    <t xml:space="preserve">Criminal history records information unit </t>
  </si>
  <si>
    <t>Inquiries</t>
  </si>
  <si>
    <t>Responses</t>
  </si>
  <si>
    <r>
      <t xml:space="preserve">Updates/modifications </t>
    </r>
    <r>
      <rPr>
        <vertAlign val="superscript"/>
        <sz val="10"/>
        <rFont val="Arial"/>
        <family val="2"/>
      </rPr>
      <t>(b)</t>
    </r>
  </si>
  <si>
    <t>Composite drawing cases</t>
  </si>
  <si>
    <t xml:space="preserve">Marine police investigations </t>
  </si>
  <si>
    <t>Criminal-marine</t>
  </si>
  <si>
    <t>Accident-marine</t>
  </si>
  <si>
    <t>General-marine</t>
  </si>
  <si>
    <t>Boardings</t>
  </si>
  <si>
    <t>Assists</t>
  </si>
  <si>
    <t>Pollution investigations</t>
  </si>
  <si>
    <t>DWI arrests</t>
  </si>
  <si>
    <t xml:space="preserve">Aviation Bureau </t>
  </si>
  <si>
    <t>Inter-hospital flights</t>
  </si>
  <si>
    <t>On-scene pick-ups</t>
  </si>
  <si>
    <t>Criminal Justice</t>
  </si>
  <si>
    <t>Complaints, inquiries, other matters (opened)</t>
  </si>
  <si>
    <t>Expungements opened</t>
  </si>
  <si>
    <t>Complaints, inquiries, other matters (closed)</t>
  </si>
  <si>
    <t>Expungements closed</t>
  </si>
  <si>
    <t xml:space="preserve">Investigations opened </t>
  </si>
  <si>
    <t xml:space="preserve">Investigations closed </t>
  </si>
  <si>
    <t>Convictions (plea and trial)</t>
  </si>
  <si>
    <t>Briefs received</t>
  </si>
  <si>
    <t>Briefs filed</t>
  </si>
  <si>
    <t>Forfeitures-state share (in millions)</t>
  </si>
  <si>
    <t>Amount of penalties and awards levied (in millions)</t>
  </si>
  <si>
    <t>State grand jury indictments</t>
  </si>
  <si>
    <t xml:space="preserve">County indictments/accusations </t>
  </si>
  <si>
    <t>Defendants disposed</t>
  </si>
  <si>
    <t>Fines ordered (in millions)</t>
  </si>
  <si>
    <t xml:space="preserve">Restitution ordered (in millions) </t>
  </si>
  <si>
    <t>Criminal Justice training programs</t>
  </si>
  <si>
    <t>Number trained</t>
  </si>
  <si>
    <t>Police Training Commission training programs</t>
  </si>
  <si>
    <t>Number of trainees certified</t>
  </si>
  <si>
    <t>State Medical Examiner</t>
  </si>
  <si>
    <r>
      <t xml:space="preserve">Toxicological cases received </t>
    </r>
    <r>
      <rPr>
        <vertAlign val="superscript"/>
        <sz val="10"/>
        <rFont val="Arial"/>
        <family val="2"/>
      </rPr>
      <t>(c)</t>
    </r>
  </si>
  <si>
    <r>
      <t>Statewide autopsies performed</t>
    </r>
    <r>
      <rPr>
        <vertAlign val="superscript"/>
        <sz val="10"/>
        <rFont val="Arial"/>
        <family val="2"/>
      </rPr>
      <t xml:space="preserve"> (c)</t>
    </r>
  </si>
  <si>
    <r>
      <t xml:space="preserve">Number of deaths investigated </t>
    </r>
    <r>
      <rPr>
        <vertAlign val="superscript"/>
        <sz val="10"/>
        <rFont val="Arial"/>
        <family val="2"/>
      </rPr>
      <t>(c)</t>
    </r>
  </si>
  <si>
    <t xml:space="preserve">Law enforcement drug tests </t>
  </si>
  <si>
    <r>
      <t>Gaming Enforcement</t>
    </r>
    <r>
      <rPr>
        <sz val="10"/>
        <rFont val="Arial"/>
        <family val="2"/>
      </rPr>
      <t/>
    </r>
  </si>
  <si>
    <t>New applications to be processed</t>
  </si>
  <si>
    <t>Individual applications</t>
  </si>
  <si>
    <t>Hotels/Casino</t>
  </si>
  <si>
    <t>Casino service industries/vendors</t>
  </si>
  <si>
    <t xml:space="preserve">Renewal applications processed </t>
  </si>
  <si>
    <t>Casino service industries</t>
  </si>
  <si>
    <t>Arrest notifications</t>
  </si>
  <si>
    <t xml:space="preserve">Casino licensing investigations </t>
  </si>
  <si>
    <t xml:space="preserve">Casino enforcement investigations </t>
  </si>
  <si>
    <t>Casino enforcement arrests</t>
  </si>
  <si>
    <t>Slot modifications/inspections</t>
  </si>
  <si>
    <t>Number of persons employed by the casino industry</t>
  </si>
  <si>
    <t>Casino industry gross revenue (in billions)</t>
  </si>
  <si>
    <t>Slot machine licenses issued</t>
  </si>
  <si>
    <t>Casino table games in operation</t>
  </si>
  <si>
    <t xml:space="preserve">Contested case hearings: </t>
  </si>
  <si>
    <t xml:space="preserve">Financial objections </t>
  </si>
  <si>
    <t xml:space="preserve">Revocations and violation complaints </t>
  </si>
  <si>
    <t>Miscellaneous</t>
  </si>
  <si>
    <t xml:space="preserve">Exclusions </t>
  </si>
  <si>
    <t xml:space="preserve">Motion for relief from Casino Control Commission orders and other reasons </t>
  </si>
  <si>
    <t>Reapplication for permission to work with or without credentials</t>
  </si>
  <si>
    <t>State Police Training Academy:</t>
  </si>
  <si>
    <r>
      <t xml:space="preserve">State Police recruits enrolled </t>
    </r>
    <r>
      <rPr>
        <vertAlign val="superscript"/>
        <sz val="10"/>
        <rFont val="Arial"/>
        <family val="2"/>
      </rPr>
      <t>(d)</t>
    </r>
  </si>
  <si>
    <r>
      <t xml:space="preserve">State Police recruits graduated </t>
    </r>
    <r>
      <rPr>
        <vertAlign val="superscript"/>
        <sz val="10"/>
        <rFont val="Arial"/>
        <family val="2"/>
      </rPr>
      <t>(d)</t>
    </r>
  </si>
  <si>
    <t xml:space="preserve">Special schools training </t>
  </si>
  <si>
    <t xml:space="preserve">Gaming Enforcement </t>
  </si>
  <si>
    <r>
      <t>Actual payroll counts are reported for fiscal years 2016 and 2017 as of December and revised fiscal 2018 as of January</t>
    </r>
    <r>
      <rPr>
        <i/>
        <sz val="10"/>
        <rFont val="Arial"/>
        <family val="2"/>
      </rPr>
      <t>.</t>
    </r>
    <r>
      <rPr>
        <sz val="10"/>
        <rFont val="Arial"/>
        <family val="2"/>
      </rPr>
      <t xml:space="preserve">  The budget estimate for fiscal 2019 reflects the number of positions funded.  </t>
    </r>
  </si>
  <si>
    <t>(a) The fiscal 2017 actual reflects a statewide investigative initiative targeting fugitives.</t>
  </si>
  <si>
    <t>(b) Increase reflects initiative to computerize historical criminal records.</t>
  </si>
  <si>
    <t xml:space="preserve">(c) Data applicable to counties served by the Regional Medical Examiner Offices, which include: Atlantic, Cape May, Cumberland, Essex, Hudson, Passaic and Somerset. </t>
  </si>
  <si>
    <t>(d) The 154th class began in fiscal 2014 and graduated in fiscal 2015.  The 155th class began and graduated in fiscal 2015. The 156th class began and graduated in fiscal 2016. The 157th class began and graduated in fiscal 2017. The 158th class began in fiscal 2018 and will graduate in fiscal 2019. The 159th class will begin in fiscal 2019 and graduate in fiscal 2020.</t>
  </si>
  <si>
    <t>13</t>
  </si>
  <si>
    <t>Office of Highway Traffic Safety</t>
  </si>
  <si>
    <t>Highway safety grants received</t>
  </si>
  <si>
    <t>Highway safety grants funded</t>
  </si>
  <si>
    <t>Election Law Enforcement</t>
  </si>
  <si>
    <t>Disclosure reports total</t>
  </si>
  <si>
    <t>Campaign and quarterly</t>
  </si>
  <si>
    <t>Lobbyists</t>
  </si>
  <si>
    <t>Professional Campaign Fundraiser</t>
  </si>
  <si>
    <t>Pay-to-Play</t>
  </si>
  <si>
    <t>Civil prosecutions</t>
  </si>
  <si>
    <t>Public assistance requests</t>
  </si>
  <si>
    <t>Review and Enforcement of Ethical Standards</t>
  </si>
  <si>
    <t>State Ethics Commission</t>
  </si>
  <si>
    <t>Financial disclosure reports</t>
  </si>
  <si>
    <t>Regulation of Alcoholic Beverages</t>
  </si>
  <si>
    <t xml:space="preserve">Alcoholic Beverage Control items processed </t>
  </si>
  <si>
    <t>Licenses (state issued only)</t>
  </si>
  <si>
    <t>Permits (a)</t>
  </si>
  <si>
    <t xml:space="preserve">Penalties </t>
  </si>
  <si>
    <t>Fees (a)</t>
  </si>
  <si>
    <t>Total Inspections</t>
  </si>
  <si>
    <t>Total inspections</t>
  </si>
  <si>
    <t>Total civil investigations (c)</t>
  </si>
  <si>
    <t>Total criminal investigations</t>
  </si>
  <si>
    <t>Total arrests</t>
  </si>
  <si>
    <t>Regulation of Racing Activities</t>
  </si>
  <si>
    <t>Racing days allotted</t>
  </si>
  <si>
    <t>Fingerprints taken</t>
  </si>
  <si>
    <t xml:space="preserve">Samples taken </t>
  </si>
  <si>
    <t>Number of tests performed on samples</t>
  </si>
  <si>
    <t>Breathalyzer tests</t>
  </si>
  <si>
    <t>(d)</t>
  </si>
  <si>
    <t>Simulcasting programs allotted (e)</t>
  </si>
  <si>
    <t>Rulings issued</t>
  </si>
  <si>
    <t>State Athletic Control</t>
  </si>
  <si>
    <t xml:space="preserve">Total number of professional shows </t>
  </si>
  <si>
    <t>Professional boxing shows</t>
  </si>
  <si>
    <t>Professional Mixed Martial Arts (MMA) shows</t>
  </si>
  <si>
    <t>Total number of licenses</t>
  </si>
  <si>
    <t>(f)</t>
  </si>
  <si>
    <t>(g)</t>
  </si>
  <si>
    <t>Professional boxers licensed</t>
  </si>
  <si>
    <t>Licenses (other)</t>
  </si>
  <si>
    <t xml:space="preserve">USA boxing shows </t>
  </si>
  <si>
    <t>(h)</t>
  </si>
  <si>
    <t xml:space="preserve">Amateur MMA shows </t>
  </si>
  <si>
    <t xml:space="preserve">    </t>
  </si>
  <si>
    <t xml:space="preserve">Actual payroll counts are reported for fiscal years 2016 and 2017 as of December and revised fiscal 2018 as of January.  The budget estimate for fiscal 2019 reflects the number of positions funded.  </t>
  </si>
  <si>
    <t>(a) "Permits" represents items originally being issued, while "fees" represents renewals or amendments processed. The increase in fees is attributable to an increase in brand registrations.</t>
  </si>
  <si>
    <t>(b) Inspections increased due to requests from municipal police departments seeking assistance from the Division of Alcoholic Beverage Control.</t>
  </si>
  <si>
    <t>(c) Civil investigations are generated based on telephone, mail, email and in-person complaints.</t>
  </si>
  <si>
    <t>(d) Starting in fiscal 2017, the operator of the Meadowlands Racetrack has requested that each driver be given a breathalyzer test upon each race day.</t>
  </si>
  <si>
    <t>(e) The data is now being collected for the total number of signals received at individual locations, including off-track wagering locations.</t>
  </si>
  <si>
    <t>(f) Reflects the loss of available sites for holding events in New Jersey, along with increased competition from other states.</t>
  </si>
  <si>
    <t>(g) The increase reflects the expectation that the opening of several new venues will attract more events and licensees to New Jersey.</t>
  </si>
  <si>
    <t>(h) Reflects the addition of the Mid-Atlantic Association of USA Boxing totals that were not available in fiscal 2016.</t>
  </si>
  <si>
    <t>18</t>
  </si>
  <si>
    <t>Juvenile Community Programs</t>
  </si>
  <si>
    <t>Residential/Transitional living programs</t>
  </si>
  <si>
    <t>Day programs (a)</t>
  </si>
  <si>
    <t>Ratio: population/positions</t>
  </si>
  <si>
    <t>.4/1</t>
  </si>
  <si>
    <t>.5/1</t>
  </si>
  <si>
    <t>Annual per capita cost</t>
  </si>
  <si>
    <t>Daily per capita cost</t>
  </si>
  <si>
    <t>Institutional Operating Data</t>
  </si>
  <si>
    <t>New Jersey Training School for Boys</t>
  </si>
  <si>
    <t>Johnstone campus</t>
  </si>
  <si>
    <t>Juvenile Parole and Transitional Services</t>
  </si>
  <si>
    <t>Active parole caseload</t>
  </si>
  <si>
    <t xml:space="preserve">(a) Reflects the phasing out of day programs based on the availability of other alternative programs. </t>
  </si>
  <si>
    <t>(b) Reflects the estimated transfer of 20 juveniles from the New Jersey Training School for Boys to various Community Programs as a result of reclassification.</t>
  </si>
  <si>
    <r>
      <t xml:space="preserve">Affirmative Action data </t>
    </r>
    <r>
      <rPr>
        <sz val="10"/>
        <rFont val="Arial"/>
        <family val="2"/>
      </rPr>
      <t>(a)</t>
    </r>
  </si>
  <si>
    <t>Homeland Security and Preparedness</t>
  </si>
  <si>
    <t>Central Library Services</t>
  </si>
  <si>
    <t xml:space="preserve">Actual payroll counts are reported for fiscal years 2016 and 2017 as of December and revised fiscal 2018 as of January.  The budget estimate for fiscal 2019 reflects the number of positions funded.                                                                                                                           </t>
  </si>
  <si>
    <t>(a)  Affirmative action data includes all of Law and Public Safety except the Office of Homeland Security and Preparedness.</t>
  </si>
  <si>
    <t>(b)  Positions moved to Legal Services within the Division of Law.</t>
  </si>
  <si>
    <t>Legal Services</t>
  </si>
  <si>
    <t>Appeals pending</t>
  </si>
  <si>
    <t>Appeals disposed</t>
  </si>
  <si>
    <t>Formal administrative agency advice pending</t>
  </si>
  <si>
    <t>Administrative agency advice completed</t>
  </si>
  <si>
    <t>Litigation pending</t>
  </si>
  <si>
    <t>Litigation concluded</t>
  </si>
  <si>
    <t>Other matters pending</t>
  </si>
  <si>
    <t>Other matters concluded</t>
  </si>
  <si>
    <t>Administrative hearings pending</t>
  </si>
  <si>
    <t>Administrative hearings concluded</t>
  </si>
  <si>
    <t>Workers Compensation pending</t>
  </si>
  <si>
    <t>Workers Compensation completed</t>
  </si>
  <si>
    <t>Second Injury pending</t>
  </si>
  <si>
    <t>Second Injury completed</t>
  </si>
  <si>
    <t>(a) The funded position counts for fiscal 2019 are based on estimated legal service reimbursements from client agencies.  These counts are subject to negotiated client agency agreements and the actual funded position counts could change.</t>
  </si>
  <si>
    <t>82</t>
  </si>
  <si>
    <t>Consumer Affairs</t>
  </si>
  <si>
    <t>Weights and Measures</t>
  </si>
  <si>
    <t>Licenses and permits issued</t>
  </si>
  <si>
    <t>Devices tested</t>
  </si>
  <si>
    <r>
      <t>Penalties collected</t>
    </r>
    <r>
      <rPr>
        <vertAlign val="superscript"/>
        <sz val="10"/>
        <rFont val="Arial"/>
        <family val="2"/>
      </rPr>
      <t xml:space="preserve"> (a)</t>
    </r>
  </si>
  <si>
    <t xml:space="preserve">Commodity checks </t>
  </si>
  <si>
    <t>Securities Bureau</t>
  </si>
  <si>
    <t>Special investigations</t>
  </si>
  <si>
    <t>Hearings and conferences</t>
  </si>
  <si>
    <t>Applications</t>
  </si>
  <si>
    <t>Administrative orders</t>
  </si>
  <si>
    <t>Registrations</t>
  </si>
  <si>
    <t>Consumer Protection programs</t>
  </si>
  <si>
    <t>Consumer complaints opened</t>
  </si>
  <si>
    <t>Consumer complaints closed</t>
  </si>
  <si>
    <t xml:space="preserve">Value of restitutions made </t>
  </si>
  <si>
    <t>Penalties collected</t>
  </si>
  <si>
    <t>(c)</t>
  </si>
  <si>
    <t>Number of controlled dangerous substance manufacturers registrations</t>
  </si>
  <si>
    <t>Licenses issued - Public Movers and Warehouseman</t>
  </si>
  <si>
    <t>Operation of State Professional Boards</t>
  </si>
  <si>
    <t>Licenses in Force (end of year)</t>
  </si>
  <si>
    <t xml:space="preserve">Certified Public Accountants </t>
  </si>
  <si>
    <t>Architects</t>
  </si>
  <si>
    <t>Dentists and Dental Hygienists</t>
  </si>
  <si>
    <t>Mortuary Science</t>
  </si>
  <si>
    <t>Professional Engineers and Land Surveyors</t>
  </si>
  <si>
    <t>Medical Examiners</t>
  </si>
  <si>
    <t>Nursing</t>
  </si>
  <si>
    <t>Optometrists</t>
  </si>
  <si>
    <t>Pharmacy</t>
  </si>
  <si>
    <t>Veterinary Medical Examiners</t>
  </si>
  <si>
    <t>Court Reporting</t>
  </si>
  <si>
    <t xml:space="preserve">Ophthalmic Dispensers and Ophthalmic Technicians </t>
  </si>
  <si>
    <t>Cosmetology and Hairstyling</t>
  </si>
  <si>
    <t>Professional Planners</t>
  </si>
  <si>
    <t>Electrical Contractors</t>
  </si>
  <si>
    <t>Psychological Examiners</t>
  </si>
  <si>
    <t>Master Plumbers</t>
  </si>
  <si>
    <t>Marriage Counselor Examiners</t>
  </si>
  <si>
    <t xml:space="preserve">Chiropractic Examiners </t>
  </si>
  <si>
    <t>Physical Therapists</t>
  </si>
  <si>
    <t>Audiology and Speech Pathology</t>
  </si>
  <si>
    <t>Real Estate Appraisal</t>
  </si>
  <si>
    <t>Respiratory Care</t>
  </si>
  <si>
    <t>Social Work Examiners</t>
  </si>
  <si>
    <t xml:space="preserve">Orthotics and Prosthetics </t>
  </si>
  <si>
    <t>Occupational Therapists</t>
  </si>
  <si>
    <t>Cemetery Companies</t>
  </si>
  <si>
    <t>Polysomnography</t>
  </si>
  <si>
    <t>Massage Therapists</t>
  </si>
  <si>
    <t>Heating, Ventilation &amp; Air Conditioning</t>
  </si>
  <si>
    <t>Certified Psychoanalysts</t>
  </si>
  <si>
    <t>Protection of Civil Rights</t>
  </si>
  <si>
    <t>Caseload</t>
  </si>
  <si>
    <t>Cases received (docketed)</t>
  </si>
  <si>
    <t>Cases closed (resolved)</t>
  </si>
  <si>
    <t>Ending balance (cumulative)</t>
  </si>
  <si>
    <t>Complaints received (not docketed)</t>
  </si>
  <si>
    <t>Monetary awards</t>
  </si>
  <si>
    <t>Victims of Crime Compensation Office</t>
  </si>
  <si>
    <t xml:space="preserve">Claims pending, July 1 </t>
  </si>
  <si>
    <t>Cases re-opened</t>
  </si>
  <si>
    <t>Supplemental Review</t>
  </si>
  <si>
    <t>Claims concluded</t>
  </si>
  <si>
    <t>Approved for payments</t>
  </si>
  <si>
    <t>Denied</t>
  </si>
  <si>
    <t>Supplemental Awards</t>
  </si>
  <si>
    <t>Ending balance, June 30</t>
  </si>
  <si>
    <t>Total Average award</t>
  </si>
  <si>
    <t>Average Original Award</t>
  </si>
  <si>
    <t>Average Supplemental Award</t>
  </si>
  <si>
    <t xml:space="preserve">(a) Fiscal 2016 and 2017 include revenue from joint settlements which are not anticipated in future fiscal years. </t>
  </si>
  <si>
    <t xml:space="preserve">(b) The decrease in the value of restitution is due to the number of settlements and the size and scope of each case. </t>
  </si>
  <si>
    <t>(c) Reflects two large non-recurring, multi-state settlements.</t>
  </si>
  <si>
    <t>(d) Due to an expansion in outreach initiatives in fiscal 2018, it is anticipated that new claims will continue to increase.</t>
  </si>
  <si>
    <t>67</t>
  </si>
  <si>
    <t>Department Of Military And Veterans' Affairs</t>
  </si>
  <si>
    <t>New Jersey National Guard Support Services</t>
  </si>
  <si>
    <t>Armory use data (days)</t>
  </si>
  <si>
    <t>Military</t>
  </si>
  <si>
    <t>Other State agencies</t>
  </si>
  <si>
    <t>Private/public</t>
  </si>
  <si>
    <t>Land management (acres)</t>
  </si>
  <si>
    <t>Authorized strength of Army National Guard</t>
  </si>
  <si>
    <t>Strength of Army National Guard, June 30</t>
  </si>
  <si>
    <t>Authorized strength of Air National Guard</t>
  </si>
  <si>
    <t>Strength of Air National Guard, June 30</t>
  </si>
  <si>
    <t>Joint Training Center Management and Operations</t>
  </si>
  <si>
    <t>Individuals trained (person days)</t>
  </si>
  <si>
    <t>New Jersey National Guard troops</t>
  </si>
  <si>
    <t>State Police</t>
  </si>
  <si>
    <t>Juvenile Justice Commission</t>
  </si>
  <si>
    <t>Department of Corrections</t>
  </si>
  <si>
    <t>ChalleNGe Youth Program</t>
  </si>
  <si>
    <t>All others</t>
  </si>
  <si>
    <t>83</t>
  </si>
  <si>
    <t>Services to Veterans</t>
  </si>
  <si>
    <t>3610</t>
  </si>
  <si>
    <t>Veterans' Outreach and Assistance</t>
  </si>
  <si>
    <t>Number of veterans served</t>
  </si>
  <si>
    <t>Number of claims processed</t>
  </si>
  <si>
    <t>VA special monetary benefits provided (in millions)</t>
  </si>
  <si>
    <t>Veterans' Tuition Credit program participants</t>
  </si>
  <si>
    <t>Blind veterans receiving allowances</t>
  </si>
  <si>
    <t>Paraplegic and hemiplegic veterans receiving allowances</t>
  </si>
  <si>
    <t>Veterans' orphans receiving educational grants</t>
  </si>
  <si>
    <t>Veterans' transportation (trips)</t>
  </si>
  <si>
    <t>Post-traumatic stress disorder counseling sessions</t>
  </si>
  <si>
    <t>Veterans' Haven residents</t>
  </si>
  <si>
    <t xml:space="preserve">State approving agency </t>
  </si>
  <si>
    <t>Approved program sites (cumulative)</t>
  </si>
  <si>
    <t>Program approving actions</t>
  </si>
  <si>
    <t>Approving agency visits to program sites</t>
  </si>
  <si>
    <t>Other activities</t>
  </si>
  <si>
    <t>Burial Services</t>
  </si>
  <si>
    <t>Brigadier General William C. Doyle Veterans Memorial Cemetery</t>
  </si>
  <si>
    <t>Rated capacity (a)</t>
  </si>
  <si>
    <t>Number of new interments</t>
  </si>
  <si>
    <t>Total interments</t>
  </si>
  <si>
    <t xml:space="preserve">Veterans' Haven </t>
  </si>
  <si>
    <t>(a) Assumes full federal funding of the expansion and improvements outlined in the Cemetery Master Plan.</t>
  </si>
  <si>
    <t>3630</t>
  </si>
  <si>
    <t>Domiciliary and Treatment Services</t>
  </si>
  <si>
    <t>Rated capacity</t>
  </si>
  <si>
    <t>Ratio: daily population/total positions</t>
  </si>
  <si>
    <t>0.8/1</t>
  </si>
  <si>
    <t>3640</t>
  </si>
  <si>
    <t>3650</t>
  </si>
  <si>
    <t>Department Of State</t>
  </si>
  <si>
    <t>36</t>
  </si>
  <si>
    <t>2405</t>
  </si>
  <si>
    <t>Student Assistance Programs</t>
  </si>
  <si>
    <t>Veterinary Medical Education Program</t>
  </si>
  <si>
    <t>Veterinary Medical Education Program (value) (a)</t>
  </si>
  <si>
    <t>Student enrollment</t>
  </si>
  <si>
    <t>Schools with contracts</t>
  </si>
  <si>
    <t>Teaching Fellows Program - Cumulative loans in redemption</t>
  </si>
  <si>
    <t>Teaching Fellows Program (value)</t>
  </si>
  <si>
    <t>Coordinated Garden State Scholarship Programs (a)</t>
  </si>
  <si>
    <t>Coordinated Garden State Scholarship Programs (value)</t>
  </si>
  <si>
    <t>Edward J. Bloustein Distinguished Scholars (a)</t>
  </si>
  <si>
    <t>Edward J. Bloustein Distinguished Scholars (value)</t>
  </si>
  <si>
    <t>Urban Scholars</t>
  </si>
  <si>
    <t>Urban Scholars (value)</t>
  </si>
  <si>
    <t>Governor's Urban Scholars</t>
  </si>
  <si>
    <t>Governor's Urban Scholars (value)</t>
  </si>
  <si>
    <t>World Trade Center Scholarship Program (a)</t>
  </si>
  <si>
    <t>World Trade Center Scholarship Program (value)</t>
  </si>
  <si>
    <t>Dana Christmas Scholarship for Heroism</t>
  </si>
  <si>
    <t>Dana Christmas Scholarship for Heroism (value)  (d)</t>
  </si>
  <si>
    <t xml:space="preserve">Outstanding Scholars Recruitment Program Freshman Awards </t>
  </si>
  <si>
    <t xml:space="preserve">Outstanding Scholars Recruitment Program Renewal Awards </t>
  </si>
  <si>
    <t xml:space="preserve">Outstanding Scholars Recruitment Program (Value) </t>
  </si>
  <si>
    <t>Survivor Tuition Benefits (b)</t>
  </si>
  <si>
    <t>Survivor Tuition Benefits (value)</t>
  </si>
  <si>
    <t>Part-Time Tuition Aid Grants for Educational</t>
  </si>
  <si>
    <t>Opportunity Fund Students (b)</t>
  </si>
  <si>
    <t xml:space="preserve">Opportunity Fund Students (value) </t>
  </si>
  <si>
    <t>Part-Time Tuition Aid Grants for County Colleges (b)</t>
  </si>
  <si>
    <t>Part-Time Tuition Aid Grants for County Colleges (value)</t>
  </si>
  <si>
    <t>Tuition Aid Grants (b) (c)</t>
  </si>
  <si>
    <t>Tuition Aid Grants (value) (c)</t>
  </si>
  <si>
    <t xml:space="preserve">County Colleges </t>
  </si>
  <si>
    <t xml:space="preserve">County Colleges (value) </t>
  </si>
  <si>
    <t xml:space="preserve">State Colleges </t>
  </si>
  <si>
    <t xml:space="preserve">State Colleges (value) </t>
  </si>
  <si>
    <t>Research Institutions</t>
  </si>
  <si>
    <t xml:space="preserve">Research Institutions (value) </t>
  </si>
  <si>
    <t>Nonpublic</t>
  </si>
  <si>
    <t xml:space="preserve">Nonpublic (value) </t>
  </si>
  <si>
    <t>New Jersey Student Tuition Assistance Reward Scholarship</t>
  </si>
  <si>
    <t>(NJSTARS I &amp; II)</t>
  </si>
  <si>
    <t>(NJSTARS I &amp; II) (value)</t>
  </si>
  <si>
    <t>NJSTARS I</t>
  </si>
  <si>
    <t>NJSTARS I (value)</t>
  </si>
  <si>
    <t>NJSTARS II</t>
  </si>
  <si>
    <t>NJSTARS II (value)</t>
  </si>
  <si>
    <t>Social Services Student Loan Redemption Program</t>
  </si>
  <si>
    <t>Social Services Student Loan Redemption Program (value)</t>
  </si>
  <si>
    <t>Total awards - all programs (c) (d)</t>
  </si>
  <si>
    <t xml:space="preserve">Total awards - all programs (value) </t>
  </si>
  <si>
    <t>Law Enforcement Officers' Memorial Scholarship</t>
  </si>
  <si>
    <t>Law Enforcement Officers' Memorial Scholarship (value)</t>
  </si>
  <si>
    <t>NJBEST Program - participants</t>
  </si>
  <si>
    <t>NJBEST Program - funds invested as of June 30</t>
  </si>
  <si>
    <t>NJBEST scholarships awarded</t>
  </si>
  <si>
    <t>NJBEST scholarships awarded (value)</t>
  </si>
  <si>
    <t>Guaranteed Student Loan Program</t>
  </si>
  <si>
    <t>Loans outstanding - June 30</t>
  </si>
  <si>
    <t>Loans outstanding - June 30 (value)</t>
  </si>
  <si>
    <t>Parent Loans for Undergraduate Students</t>
  </si>
  <si>
    <t>Consolidated Loans</t>
  </si>
  <si>
    <t>New Jersey College Loans to Assist State Students (NJCLASS)</t>
  </si>
  <si>
    <t>Student Assistance programs</t>
  </si>
  <si>
    <t>(a) Private donations as well as State appropriations contribute to the scholarship fund.</t>
  </si>
  <si>
    <t>(b) Student Assistance Programs expenditure and award recipients data for fiscal 2017 represent actual counts as of October 2017.  Further payments and adjustments are anticipated as institutional payments and reconciliation reports are received.</t>
  </si>
  <si>
    <t>(c) Part-Time TAG for Educational Opportunity Fund Students program data is included in Full-Time TAG program data.</t>
  </si>
  <si>
    <t>(d) Totals include all programs, with the exception of Law Enforcement Officers' Memorial Scholarship, NJBEST Program, Guaranteed Student Loan Program, Parent Loans for Undergraduate Students, Consolidated Loans, and NJCLASS Program; students may be counted more than once if they are receiving aid from more than one program.</t>
  </si>
  <si>
    <t>2410</t>
  </si>
  <si>
    <t xml:space="preserve">         </t>
  </si>
  <si>
    <t>Institutional Support</t>
  </si>
  <si>
    <t>Enrollment total</t>
  </si>
  <si>
    <t>Enrollment total (weighted) (a)</t>
  </si>
  <si>
    <t>Undergraduate total</t>
  </si>
  <si>
    <t>Undergraduate total (weighted) (a)</t>
  </si>
  <si>
    <t>Full-time</t>
  </si>
  <si>
    <t>Full-time (weighted) (a)</t>
  </si>
  <si>
    <t>Part-time</t>
  </si>
  <si>
    <t>Part-time (weighted) (a)</t>
  </si>
  <si>
    <t>Graduate total</t>
  </si>
  <si>
    <t>Graduate total (weighted) (a)</t>
  </si>
  <si>
    <t>Summer session total (b)</t>
  </si>
  <si>
    <t>Enrollment total - Medical Education (c)</t>
  </si>
  <si>
    <t>Degree programs offered</t>
  </si>
  <si>
    <t>Courses offered</t>
  </si>
  <si>
    <t>Degrees granted</t>
  </si>
  <si>
    <t>Bachelors</t>
  </si>
  <si>
    <t>Masters</t>
  </si>
  <si>
    <t>Doctors</t>
  </si>
  <si>
    <t>Physicians</t>
  </si>
  <si>
    <t>Dentists</t>
  </si>
  <si>
    <t>Ratio:  student/faculty (d)</t>
  </si>
  <si>
    <t>19/1</t>
  </si>
  <si>
    <t>20/1</t>
  </si>
  <si>
    <t>18/1</t>
  </si>
  <si>
    <t>Full-Time, First-Time Freshmen (regular admission students)</t>
  </si>
  <si>
    <t>Average SAT Score - Math</t>
  </si>
  <si>
    <t>648</t>
  </si>
  <si>
    <t>649</t>
  </si>
  <si>
    <t>673</t>
  </si>
  <si>
    <t>Average SAT Score - Reading</t>
  </si>
  <si>
    <t>596</t>
  </si>
  <si>
    <t>595</t>
  </si>
  <si>
    <t>Average SAT Score - Writing</t>
  </si>
  <si>
    <t>0</t>
  </si>
  <si>
    <t>Average SAT Score - Total</t>
  </si>
  <si>
    <t>Outcomes data (e)</t>
  </si>
  <si>
    <t>Third-Semester Retention Rates</t>
  </si>
  <si>
    <t>Six-Year Graduation Rates</t>
  </si>
  <si>
    <t>Student tuition and fees</t>
  </si>
  <si>
    <t>Total cost of attendance (f)</t>
  </si>
  <si>
    <t>Full-time undergraduate tuition (state residents)</t>
  </si>
  <si>
    <t>Full-time undergraduate tuition (non-state residents)</t>
  </si>
  <si>
    <t>Full-time undergraduate fees</t>
  </si>
  <si>
    <t>Student tuition and fees - Medical Education</t>
  </si>
  <si>
    <t>Full-time - medical students (resident)</t>
  </si>
  <si>
    <t>Full-time - medical students (non-resident)</t>
  </si>
  <si>
    <t>Full-time - dental students (resident)</t>
  </si>
  <si>
    <t>Full-time - dental students (non-resident)</t>
  </si>
  <si>
    <t>Institutional expenditures (g)</t>
  </si>
  <si>
    <t>Separately budgeted research</t>
  </si>
  <si>
    <t>Extension and public service</t>
  </si>
  <si>
    <t>Academic support</t>
  </si>
  <si>
    <t>Student services</t>
  </si>
  <si>
    <t>Institutional support</t>
  </si>
  <si>
    <t>Physical plant and support services</t>
  </si>
  <si>
    <t>Special purpose appropriations</t>
  </si>
  <si>
    <t>Camden Law School Clinical Legal Programs for the Poor</t>
  </si>
  <si>
    <t>Newark Law School Clinical Legal Programs for the Poor</t>
  </si>
  <si>
    <t>Cancer Institute of New Jersey and ancillary facilities</t>
  </si>
  <si>
    <t>Child Health Institute</t>
  </si>
  <si>
    <t>School of Biomedical and Health Sciences</t>
  </si>
  <si>
    <t>State-funded positions</t>
  </si>
  <si>
    <t xml:space="preserve">(a) Equated on the basis of 32 credit hours per undergraduate student and 24 credit hours per graduate student.  </t>
  </si>
  <si>
    <t>(b) Summer session enrollments not included in enrollment total.</t>
  </si>
  <si>
    <t>(c) Medical education students are not included in enrollment total.</t>
  </si>
  <si>
    <t>(d) Calculated on the basis of filled teaching positions (including adjunct faculty) and equated full-time (weighted) students.  Does not include medical education students.</t>
  </si>
  <si>
    <t>(e) As calculated by the Student Unit Record Enrollment (SURE) system.</t>
  </si>
  <si>
    <t>(f) As reported to the Higher Education Student Assistance Authority.  Includes tuition, fees, room and board, transportation and supplies based on the School of Arts and Sciences rates.</t>
  </si>
  <si>
    <t>(g) During fiscal year 2017, the University underwent the implementation of a new financial system, integrating the legacy systems of Rutgers and UMDNJ. During that process, the University reevaluated accounting practices, which led to inconsistencies between fiscal 2017 data and that budgeted for fiscal 2018. Going forward the University's budget will follow the new methodology. The University recently completed its audited financial statement for fiscal 2017 on a consolidated basis; this data is preliminary until the University submits final allocation and transfer of resources across campuses for the fiscal year ending June 30, 2017.</t>
  </si>
  <si>
    <t>2415</t>
  </si>
  <si>
    <t>Institutional expenditures (a)</t>
  </si>
  <si>
    <t xml:space="preserve">Academic Support </t>
  </si>
  <si>
    <t>Student Services</t>
  </si>
  <si>
    <t>Physical Plant</t>
  </si>
  <si>
    <t xml:space="preserve">(a) During fiscal year 2017, the University underwent the implementation of a new financial system, integrating the legacy systems of Rutgers and UMDNJ. During that process, the University reevaluated accounting practices, which led to inconsistencies between fiscal 2017 data and that budgeted for fiscal 2018. Going forward the University's budget will follow the new methodology. The University recently completed its audited financial statement for fiscal 2017 on a consolidated basis; this data is preliminary until the University submits final allocation and transfer of resources across campuses for the fiscal year ending June 30, 2017.
</t>
  </si>
  <si>
    <t>2416</t>
  </si>
  <si>
    <t>Degrees Granted</t>
  </si>
  <si>
    <t>Ratio:  Student/faculty (c)</t>
  </si>
  <si>
    <t>16/1</t>
  </si>
  <si>
    <t>15/1</t>
  </si>
  <si>
    <t>533</t>
  </si>
  <si>
    <t>523</t>
  </si>
  <si>
    <t>563</t>
  </si>
  <si>
    <t>516</t>
  </si>
  <si>
    <t>506</t>
  </si>
  <si>
    <t>562</t>
  </si>
  <si>
    <t>Outcomes Data (d)</t>
  </si>
  <si>
    <t>Student Tuition and Fees</t>
  </si>
  <si>
    <t>Total cost of attendance (e)</t>
  </si>
  <si>
    <t>Institutional expenditures (f)</t>
  </si>
  <si>
    <t>Clinical Legal Programs for the Poor - Rutgers Law School</t>
  </si>
  <si>
    <t>New Facility, School of Business</t>
  </si>
  <si>
    <t>Rutgers-Camden School of Business Facilities Development</t>
  </si>
  <si>
    <t>(b) Summer session enrollments not included in total enrollments.</t>
  </si>
  <si>
    <t>(c) Calculated on the basis of filled teaching positions (including adjunct faculty) and equated full-time (weighted) students.</t>
  </si>
  <si>
    <t>(d) As calculated by the Student Unit Record Enrollment (SURE) system.</t>
  </si>
  <si>
    <t>(e) As reported to the Higher Education Student Assistance Authority.  Includes tuition, fees, room and board, transportation and supplies based on the School of Arts and Sciences rates.</t>
  </si>
  <si>
    <t>(f) During fiscal year 2017, the University underwent the implementation of a new financial system, integrating the legacy systems of Rutgers and UMDNJ. During that process, the University reevaluated accounting practices, which led to inconsistencies between fiscal 2017 data and that budgeted for fiscal 2018. Going forward the University's budget will follow the new methodology. The University recently completed its audited financial statement for fiscal 2017 on a consolidated basis; this data is preliminary until the University submits final allocation and transfer of resources across campuses for the fiscal year ending June 30, 2017.</t>
  </si>
  <si>
    <t>2417</t>
  </si>
  <si>
    <t>Enrollment total (a)</t>
  </si>
  <si>
    <t>Enrollment total (weighted) (b)</t>
  </si>
  <si>
    <t>Undergraduate total (weighted) (b)</t>
  </si>
  <si>
    <t>Full-time (weighted) (b)</t>
  </si>
  <si>
    <t>Part-time (weighted) (b)</t>
  </si>
  <si>
    <t>Graduate total (weighted) (b)</t>
  </si>
  <si>
    <t>Summer session total (c)</t>
  </si>
  <si>
    <t>Ratio:  Student/faculty (d)</t>
  </si>
  <si>
    <t>Outcomes Data (e)</t>
  </si>
  <si>
    <t>(a) Rutgers Business School and School of Social Work students are allocated to the campus where they are enrolled.</t>
  </si>
  <si>
    <t xml:space="preserve">(b) Equated on the basis of 32 credit hours per undergraduate student and 24 credit hours per graduate student.  </t>
  </si>
  <si>
    <t>(c) Summer session enrollments not included in total enrollments.</t>
  </si>
  <si>
    <t>(d) Calculated on the basis of filled teaching positions (including adjunct faculty) and equated full-time (weighted) students.</t>
  </si>
  <si>
    <t>2430</t>
  </si>
  <si>
    <t>Enrollment total (weighted) (a)(b)</t>
  </si>
  <si>
    <t>Extension and Public Service</t>
  </si>
  <si>
    <t>Enrollment</t>
  </si>
  <si>
    <t>Enrollment (weighted) (b)</t>
  </si>
  <si>
    <t>Undergraduate</t>
  </si>
  <si>
    <t>Undergraduate (weighted) (b)</t>
  </si>
  <si>
    <t>Graduate</t>
  </si>
  <si>
    <t>Graduate (weighted) (b)</t>
  </si>
  <si>
    <t>Student credit hours produced</t>
  </si>
  <si>
    <t>Degrees and certificates granted - total</t>
  </si>
  <si>
    <t>Ratio:  student/faculty (c)</t>
  </si>
  <si>
    <t>17/1</t>
  </si>
  <si>
    <t xml:space="preserve">Average SAT Score - Total </t>
  </si>
  <si>
    <t>Outcomes data (d)</t>
  </si>
  <si>
    <t>Seven-Year Graduation Rates</t>
  </si>
  <si>
    <t>Institutional expenditures</t>
  </si>
  <si>
    <t>Sponsored programs and research</t>
  </si>
  <si>
    <t>(a) The Enrollment total and Enrollment total (weighted) reflect the total number of undergraduate and graduate students enrolled; Extension and Public Service enrollment totals are listed separately.</t>
  </si>
  <si>
    <t>(b)  Equated on the basis of 32 credit hours per undergraduate student and 24 credit hours per graduate student.</t>
  </si>
  <si>
    <t>(c) Calculated on the basis of authorized teaching positions (including adjunct faculty) and equated full-time (weighted) students.</t>
  </si>
  <si>
    <t>(d)  As calculated by the Student Unit Record Enrollment (SURE) system.</t>
  </si>
  <si>
    <t>(e)  As reported to the Higher Education Student Assistance Authority.  Includes tuition, fees, room and board, transportation and supplies.</t>
  </si>
  <si>
    <t>2440</t>
  </si>
  <si>
    <t>Degree students</t>
  </si>
  <si>
    <t>Non-degree students</t>
  </si>
  <si>
    <t>Associate degree specialization options</t>
  </si>
  <si>
    <t>Baccalaureate degree specialization options</t>
  </si>
  <si>
    <t>Masters degree specialization options</t>
  </si>
  <si>
    <t>Doctorate degree specialization options</t>
  </si>
  <si>
    <t>Associate</t>
  </si>
  <si>
    <t>Baccalaureate</t>
  </si>
  <si>
    <t>Examinations and assessments of experiential learning</t>
  </si>
  <si>
    <t>Individuals receiving educational and career counseling</t>
  </si>
  <si>
    <t>2445</t>
  </si>
  <si>
    <t xml:space="preserve">Enrollment total </t>
  </si>
  <si>
    <t>Graduate total (b)</t>
  </si>
  <si>
    <t>Cooper Medical School total</t>
  </si>
  <si>
    <t>Cooper Medical School (weighted)</t>
  </si>
  <si>
    <t xml:space="preserve">School of Osteopathic Medicine total </t>
  </si>
  <si>
    <t xml:space="preserve">School of Osteopathic Medicine (weighted) </t>
  </si>
  <si>
    <t>Doctoral</t>
  </si>
  <si>
    <t>Medical</t>
  </si>
  <si>
    <t>187</t>
  </si>
  <si>
    <t>213</t>
  </si>
  <si>
    <t>180</t>
  </si>
  <si>
    <t xml:space="preserve">Extension and Public Service </t>
  </si>
  <si>
    <t>Enrollment (weighted) (a)</t>
  </si>
  <si>
    <t>Summer undergraduate</t>
  </si>
  <si>
    <t>Summer undergraduate (weighted) (a)</t>
  </si>
  <si>
    <t>Summer graduate</t>
  </si>
  <si>
    <t>Summer graduate (weighted) (a)</t>
  </si>
  <si>
    <t>Program revenue</t>
  </si>
  <si>
    <t>590</t>
  </si>
  <si>
    <t>Research</t>
  </si>
  <si>
    <t>Public service</t>
  </si>
  <si>
    <t xml:space="preserve">State-funded positions </t>
  </si>
  <si>
    <t>(a) Equated on the basis of 32 credit hours per part-time undergraduate student, 24 credit hours per graduate student and 16 credit hours per doctoral student.  Full-time undergraduate students are assumed to equate to FTE.</t>
  </si>
  <si>
    <t>(b) Graduate enrollments are not categorized as full-time or part-time.  Tuition is charged per credit.</t>
  </si>
  <si>
    <t>(c) Calculated on the basis of budgeted teaching positions (including adjunct faculty) and equated full-time (weighted) students.</t>
  </si>
  <si>
    <t>(e) As reported to the Higher Education Student Assistance Authority.  Includes tuition, fees, room and board, transportation and supplies.</t>
  </si>
  <si>
    <t>2450</t>
  </si>
  <si>
    <t>Doctoral total</t>
  </si>
  <si>
    <t>Doctoral total (weighted) (a)</t>
  </si>
  <si>
    <t xml:space="preserve">Courses offered </t>
  </si>
  <si>
    <t>Ratio:  student/faculty (b)</t>
  </si>
  <si>
    <t>14/1</t>
  </si>
  <si>
    <t>13/1</t>
  </si>
  <si>
    <t>A. Harry Moore Laboratory School</t>
  </si>
  <si>
    <t>Students enrolled</t>
  </si>
  <si>
    <t>Orthopedic (includes cerebral palsied)</t>
  </si>
  <si>
    <t>Multiple disabilities</t>
  </si>
  <si>
    <t>Cognitive - moderate</t>
  </si>
  <si>
    <t>Preschool disabilities</t>
  </si>
  <si>
    <t xml:space="preserve">Average SAT Score - Reading </t>
  </si>
  <si>
    <t>Outcomes data (c)</t>
  </si>
  <si>
    <t>Total cost of attendance (d)</t>
  </si>
  <si>
    <t>Full-time undergraduate tuition - state residents</t>
  </si>
  <si>
    <t>Full-time undergraduate tuition - non-state residents</t>
  </si>
  <si>
    <t>Research and programs</t>
  </si>
  <si>
    <t xml:space="preserve">Student aid </t>
  </si>
  <si>
    <t>(a) Equated on the basis of 32 credit hours per undergraduate student and 24 credit hours per graduate student.</t>
  </si>
  <si>
    <t>(b) Calculated on the basis of budgeted teaching positions (including adjunct faculty) and equated full-time (weighted) students.</t>
  </si>
  <si>
    <t>(c) As calculated by the Student Unit Record Enrollment (SURE) system.</t>
  </si>
  <si>
    <t>(d) As reported to the Higher Education Student Assistance Authority.  Includes tuition, fees, room and board, transportation and supplies.</t>
  </si>
  <si>
    <t>2455</t>
  </si>
  <si>
    <t>Doctorate</t>
  </si>
  <si>
    <t>Scholarships and fellowships</t>
  </si>
  <si>
    <t>2460</t>
  </si>
  <si>
    <t>Doctor</t>
  </si>
  <si>
    <t>Average SAT Score - Total (c)</t>
  </si>
  <si>
    <t>2465</t>
  </si>
  <si>
    <t xml:space="preserve">Full-time (weighted) (a) </t>
  </si>
  <si>
    <t xml:space="preserve">Part-time (weighted) (a) </t>
  </si>
  <si>
    <t>Ratio: student/faculty (b)</t>
  </si>
  <si>
    <t>Program revenue - summer</t>
  </si>
  <si>
    <t xml:space="preserve">Full-Time, First-Time Freshmen (regular admission students) </t>
  </si>
  <si>
    <t>Average SAT Score - Math (c)</t>
  </si>
  <si>
    <t>Average SAT Score - Reading (c)</t>
  </si>
  <si>
    <t>Student tuition and fees (e)</t>
  </si>
  <si>
    <t xml:space="preserve">Total cost of attendance </t>
  </si>
  <si>
    <t>(b) Calculated on the basis of teaching positions (including adjunct faculty) and equated full-time (weighted) students.</t>
  </si>
  <si>
    <t>(c) Beginning in Fall 2014, Montclair State University no longer requires applicants seeking admission to submit SAT scores.</t>
  </si>
  <si>
    <t>`</t>
  </si>
  <si>
    <t>2470</t>
  </si>
  <si>
    <t>Part-time and extension (off-campus)</t>
  </si>
  <si>
    <t>Part-time and extension (off-campus) (weighted) (a)</t>
  </si>
  <si>
    <t xml:space="preserve">Full-time undergraduate tuition (state residents) (e) </t>
  </si>
  <si>
    <t xml:space="preserve">Full-time undergraduate tuition (non-state residents) (e) </t>
  </si>
  <si>
    <t>Full-time undergraduate fees (e)</t>
  </si>
  <si>
    <t>(a) Equated on a basis of 32 credit hours per undergraduate student and 24 credit hours per graduate student.  The College of New Jersey measures undergraduate time in "units," each of which represents one course; each unit equates to four credit hours.</t>
  </si>
  <si>
    <t>(e) Beginning in the 2017-2018 academic year, the Student Services and Computing Access fee has been incorporated into the cost of tuition.</t>
  </si>
  <si>
    <t>2475</t>
  </si>
  <si>
    <t>225</t>
  </si>
  <si>
    <t>253</t>
  </si>
  <si>
    <t>262</t>
  </si>
  <si>
    <t>276</t>
  </si>
  <si>
    <t>300</t>
  </si>
  <si>
    <t>640</t>
  </si>
  <si>
    <t>755</t>
  </si>
  <si>
    <t xml:space="preserve">Average SAT Score - Math </t>
  </si>
  <si>
    <t xml:space="preserve">Full-time undergraduate fees (e) </t>
  </si>
  <si>
    <t xml:space="preserve">Institutional expenditures </t>
  </si>
  <si>
    <t>Research &amp; Public Service</t>
  </si>
  <si>
    <t>Student financial aid</t>
  </si>
  <si>
    <t>(e) Beginning in the 2017-2018 academic year, Educational and General Expense fees have been incorporated into the cost of tuition.</t>
  </si>
  <si>
    <t xml:space="preserve">Enrollment </t>
  </si>
  <si>
    <t xml:space="preserve">Summer undergraduate </t>
  </si>
  <si>
    <t>(a)  Equated on the basis of 32 credit hours per undergraduate student and 24 credit hours per graduate and doctoral student.</t>
  </si>
  <si>
    <t>(b) Calculated on the basis of authorized teaching positions (including adjunct faculty) and equated full-time (weighted) students.</t>
  </si>
  <si>
    <t>Department of State</t>
  </si>
  <si>
    <t>Rated capacity (beds)</t>
  </si>
  <si>
    <t>Hospital admissions, total</t>
  </si>
  <si>
    <t>Hospital admissions, daily average</t>
  </si>
  <si>
    <t>Patient days of service, total</t>
  </si>
  <si>
    <t>Percent of occupancy (a)</t>
  </si>
  <si>
    <t>Average length of stay (days)</t>
  </si>
  <si>
    <t>Outpatient and emergency visits, total</t>
  </si>
  <si>
    <t>Outpatient and emergency visits, daily average</t>
  </si>
  <si>
    <t>(a) Occupancy based upon maintained beds (352) versus licensed beds (519).</t>
  </si>
  <si>
    <t>Statewide Planning and Coordination for Higher Education</t>
  </si>
  <si>
    <t>Undergraduate enrollment (FTE)</t>
  </si>
  <si>
    <t>Graduate enrollment (FTE)</t>
  </si>
  <si>
    <t>Total enrollment (FTE)</t>
  </si>
  <si>
    <t xml:space="preserve">Undergraduate enrollment (FTE) </t>
  </si>
  <si>
    <t xml:space="preserve">Graduate enrollment (FTE) </t>
  </si>
  <si>
    <t xml:space="preserve">Rowan University </t>
  </si>
  <si>
    <t>State Colleges and Universities (a)</t>
  </si>
  <si>
    <t>Average tuition and fees (b)</t>
  </si>
  <si>
    <t>Average total cost of attendance (b)</t>
  </si>
  <si>
    <t>Average third-semester retention rate (c)</t>
  </si>
  <si>
    <t>Average six-year graduation rate (c)</t>
  </si>
  <si>
    <t>Aid to County Colleges</t>
  </si>
  <si>
    <t>County colleges aided</t>
  </si>
  <si>
    <t>Student enrollment (FTE)</t>
  </si>
  <si>
    <t>Average three-year combined graduation &amp; transfer rates (c)</t>
  </si>
  <si>
    <t>Support to Independent Institutions</t>
  </si>
  <si>
    <t>Independent colleges and universities aided</t>
  </si>
  <si>
    <t>Educational Opportunity Fund Programs</t>
  </si>
  <si>
    <t>Colleges and universities participating</t>
  </si>
  <si>
    <t>Public</t>
  </si>
  <si>
    <t>Private</t>
  </si>
  <si>
    <t xml:space="preserve">Total opportunity grants </t>
  </si>
  <si>
    <t>Academic year - undergraduate</t>
  </si>
  <si>
    <t>Graduate program</t>
  </si>
  <si>
    <t>Summer program</t>
  </si>
  <si>
    <t>(a) Excludes Thomas Edison State University since data for this institution is not calculated on the basis of comparable FTEs.</t>
  </si>
  <si>
    <t>(b) As reported to the Higher Education Student Assistance Authority.</t>
  </si>
  <si>
    <t>37</t>
  </si>
  <si>
    <t>2541</t>
  </si>
  <si>
    <t>Library Services</t>
  </si>
  <si>
    <t>State Library Information Center (SLIC)</t>
  </si>
  <si>
    <t>Books and documents managed</t>
  </si>
  <si>
    <t>Electronic materials managed</t>
  </si>
  <si>
    <t>NJ digital documents managed</t>
  </si>
  <si>
    <t>Materials loaned to individuals and libraries</t>
  </si>
  <si>
    <t>Copies provided</t>
  </si>
  <si>
    <t>Reference questions answered</t>
  </si>
  <si>
    <t>CyberDesk visits</t>
  </si>
  <si>
    <t>CyberDesk page views</t>
  </si>
  <si>
    <t>New Jersey documents digitized</t>
  </si>
  <si>
    <t>SLIC database usage</t>
  </si>
  <si>
    <t>Talking Book and Braille Center (TBBC)</t>
  </si>
  <si>
    <t>Materials loaned to blind and print disabled</t>
  </si>
  <si>
    <t>TBBC customers served</t>
  </si>
  <si>
    <t>TBBC volunteers</t>
  </si>
  <si>
    <t>TBBC outreach programs</t>
  </si>
  <si>
    <t>TBBC digital books downloaded</t>
  </si>
  <si>
    <t>State Library website traffic</t>
  </si>
  <si>
    <t>JerseyClicks database usage</t>
  </si>
  <si>
    <t>Electronic interlibrary loan transactions</t>
  </si>
  <si>
    <t>Support of the Arts</t>
  </si>
  <si>
    <t>Grant applications received</t>
  </si>
  <si>
    <t>a</t>
  </si>
  <si>
    <t>Grants awarded</t>
  </si>
  <si>
    <t>Museum Services</t>
  </si>
  <si>
    <t>Museum attendance</t>
  </si>
  <si>
    <t>Planetarium - school group attendance</t>
  </si>
  <si>
    <t>Planetarium - public attendance</t>
  </si>
  <si>
    <t>Education programs - school group attendance</t>
  </si>
  <si>
    <t>Education programs - public attendance</t>
  </si>
  <si>
    <t>Other public program attendance</t>
  </si>
  <si>
    <t>Development of Historical Resources</t>
  </si>
  <si>
    <t>(a) The number of grant applications received in fiscal 2017 is higher because it is the beginning of a three-year grant period for grants that will not be open again until fiscal 2020.</t>
  </si>
  <si>
    <t>Office of the Secretary of State</t>
  </si>
  <si>
    <t>AmeriCorps</t>
  </si>
  <si>
    <t>Office of Faith Based Initiatives</t>
  </si>
  <si>
    <t>Center for Hispanic Policy, Research and Development</t>
  </si>
  <si>
    <t>Hispanic population served</t>
  </si>
  <si>
    <t>Business Action Center</t>
  </si>
  <si>
    <t>Motion Picture and Television Commission</t>
  </si>
  <si>
    <t>Total film/television productions</t>
  </si>
  <si>
    <t>Direct spending by companies (millions)</t>
  </si>
  <si>
    <t>Travel and Tourism</t>
  </si>
  <si>
    <t>Revenue generated by tourism (billions)</t>
  </si>
  <si>
    <t>Tax revenue generated by tourism (billions)</t>
  </si>
  <si>
    <t>Overnight visitors (millions)</t>
  </si>
  <si>
    <t>State Archives</t>
  </si>
  <si>
    <t>Visitors to Archives facilities / online purchases</t>
  </si>
  <si>
    <t>Election Management and Coordination</t>
  </si>
  <si>
    <t>Registered voters (a)</t>
  </si>
  <si>
    <t>(a) Represents actual data reported to the federal government annually.</t>
  </si>
  <si>
    <t>78</t>
  </si>
  <si>
    <t>Department Of Transportation</t>
  </si>
  <si>
    <t>11</t>
  </si>
  <si>
    <t>Motor Vehicle Services</t>
  </si>
  <si>
    <t>Licensed drivers</t>
  </si>
  <si>
    <t>Registered vehicles</t>
  </si>
  <si>
    <t>Registrations and title documents issued</t>
  </si>
  <si>
    <t>Registration documents issued</t>
  </si>
  <si>
    <t>Certificates of Ownership issued</t>
  </si>
  <si>
    <t>License documents issued (non-commercial)</t>
  </si>
  <si>
    <t>Driver exam permit documents issued (non-commercial)</t>
  </si>
  <si>
    <t>Salvage titles issued</t>
  </si>
  <si>
    <t>Salvage vehicle inspections</t>
  </si>
  <si>
    <t>Regional Service Centers - number of customers</t>
  </si>
  <si>
    <t>MVC facilities</t>
  </si>
  <si>
    <t>MVC Agencies (a)</t>
  </si>
  <si>
    <t>Inspection centers</t>
  </si>
  <si>
    <t>Road testing centers &amp; driver testing centers</t>
  </si>
  <si>
    <t>Customer service inquiries</t>
  </si>
  <si>
    <t>Telephone center inquiries answered</t>
  </si>
  <si>
    <t>Responses to email inquiries</t>
  </si>
  <si>
    <t>Correspondence answered</t>
  </si>
  <si>
    <t>Website hits</t>
  </si>
  <si>
    <t>Mailings processed</t>
  </si>
  <si>
    <t>Total NJ inspections/reinspections</t>
  </si>
  <si>
    <t>Centralized - inspections/reinspections</t>
  </si>
  <si>
    <t>Initial inspections - centralized</t>
  </si>
  <si>
    <t>Reinspections - centralized</t>
  </si>
  <si>
    <t>Private Inspection Facility - inspections/reinspections</t>
  </si>
  <si>
    <t>Initial inspections - Private Inspection Facilities</t>
  </si>
  <si>
    <t>Reinspections - Private Inspection Facilities</t>
  </si>
  <si>
    <t>Specialty inspections</t>
  </si>
  <si>
    <t>Commercial Bus - inspections/reinspections</t>
  </si>
  <si>
    <t>Initial inspections - Commercial Bus</t>
  </si>
  <si>
    <t>Reinspections - Commercial Bus</t>
  </si>
  <si>
    <t>School Bus - inspections/reinspections</t>
  </si>
  <si>
    <t>Initial inspections - School Bus</t>
  </si>
  <si>
    <t>Reinspections - School Bus</t>
  </si>
  <si>
    <t>Specification inspections</t>
  </si>
  <si>
    <t>Roadside inspections</t>
  </si>
  <si>
    <t>Roadside rejections</t>
  </si>
  <si>
    <t>Driver testing</t>
  </si>
  <si>
    <t>Vision tests</t>
  </si>
  <si>
    <t>Written tests</t>
  </si>
  <si>
    <t>Road tests</t>
  </si>
  <si>
    <t>License plates issued</t>
  </si>
  <si>
    <t>Cause plates</t>
  </si>
  <si>
    <t>Specialty plates</t>
  </si>
  <si>
    <t>Sports plates</t>
  </si>
  <si>
    <t>Commercial Driver License Program</t>
  </si>
  <si>
    <t>License documents issued</t>
  </si>
  <si>
    <t>Permit documents issued</t>
  </si>
  <si>
    <t>Suspensions/restorations</t>
  </si>
  <si>
    <t>Court suspensions</t>
  </si>
  <si>
    <t>Administrative suspensions</t>
  </si>
  <si>
    <t>Point system suspensions</t>
  </si>
  <si>
    <t>Surcharge suspensions</t>
  </si>
  <si>
    <t>Total restorations</t>
  </si>
  <si>
    <t>Medical cases reviewed</t>
  </si>
  <si>
    <t>Document Management Program</t>
  </si>
  <si>
    <t>Documents microfilmed in-house</t>
  </si>
  <si>
    <t>Businesses licensed</t>
  </si>
  <si>
    <t>Dealers</t>
  </si>
  <si>
    <t>Commercial driving schools</t>
  </si>
  <si>
    <t>Commercial driving instructors</t>
  </si>
  <si>
    <t>Leasing companies</t>
  </si>
  <si>
    <t>Auto body repair facilities</t>
  </si>
  <si>
    <t>Private inspection centers</t>
  </si>
  <si>
    <t>Security Responsibility</t>
  </si>
  <si>
    <t xml:space="preserve">(a) Starting in FY18, the number of MVC facilities includes the addition of two Mobile Agency vehicles. </t>
  </si>
  <si>
    <t>61</t>
  </si>
  <si>
    <t>Maintenance and Operations</t>
  </si>
  <si>
    <t>Maintenance Operations</t>
  </si>
  <si>
    <t>Snow and ice control costs ($ millions)</t>
  </si>
  <si>
    <t>Acres mowed</t>
  </si>
  <si>
    <t>Complaints received about unmowed acres</t>
  </si>
  <si>
    <t>Litter pick up and removal:</t>
  </si>
  <si>
    <t>Litter pick up costs ($ millions)</t>
  </si>
  <si>
    <t>Number of litter complaints</t>
  </si>
  <si>
    <t>Total resurfacing:</t>
  </si>
  <si>
    <t>Lane miles resurfaced by contract</t>
  </si>
  <si>
    <t>Number of potholes repaired</t>
  </si>
  <si>
    <t>Average response time for emergency pothole repair (hr/min)</t>
  </si>
  <si>
    <t>3:24</t>
  </si>
  <si>
    <t>3:04</t>
  </si>
  <si>
    <t>5:00</t>
  </si>
  <si>
    <t>3:20</t>
  </si>
  <si>
    <t>Electrical Operations</t>
  </si>
  <si>
    <t>Traffic signal inspections</t>
  </si>
  <si>
    <t>Emergency call responses</t>
  </si>
  <si>
    <t>Emergency response - percent of crew responses within 90 minutes</t>
  </si>
  <si>
    <t>Traffic fatalities per 100 million vehicle miles travelled</t>
  </si>
  <si>
    <t>Serious injuries per 100 million vehicle miles travelled</t>
  </si>
  <si>
    <t>Average incident duration in minutes</t>
  </si>
  <si>
    <t>Transportation Systems Improvements</t>
  </si>
  <si>
    <t>Design</t>
  </si>
  <si>
    <t>Construction projects designed in-house ($ millions)</t>
  </si>
  <si>
    <t>Percent of railroad grade crossings inspected</t>
  </si>
  <si>
    <t>State-maintained bridge safety inspections in-house</t>
  </si>
  <si>
    <t>State-maintained bridge safety inspections by consultants</t>
  </si>
  <si>
    <t>County bridge safety inspections</t>
  </si>
  <si>
    <t>Construction</t>
  </si>
  <si>
    <t>Cost to construct projects ($ millions)</t>
  </si>
  <si>
    <t>Construction contracts awarded</t>
  </si>
  <si>
    <t>Road projects under construction</t>
  </si>
  <si>
    <t>Bridges under construction</t>
  </si>
  <si>
    <t>Percent of State highway pavement in acceptable condition</t>
  </si>
  <si>
    <t>Percent of State-maintained bridges 20 ft or more in length in acceptable condition</t>
  </si>
  <si>
    <t>Percent of State-maintained bridge deck area in acceptable condition</t>
  </si>
  <si>
    <t>Physical Plant and Support Services</t>
  </si>
  <si>
    <t>Capital Program Management</t>
  </si>
  <si>
    <t>Railroad and Bus Operations</t>
  </si>
  <si>
    <t>Bus Operations (including subsidized carriers)</t>
  </si>
  <si>
    <t>Average daily ridership</t>
  </si>
  <si>
    <t>Total cost per trip per rider</t>
  </si>
  <si>
    <t>Total revenue per trip per rider</t>
  </si>
  <si>
    <t>Total cost per mile</t>
  </si>
  <si>
    <t>Total revenue per mile</t>
  </si>
  <si>
    <t>Revenue/cost ratio</t>
  </si>
  <si>
    <t>Equipment:</t>
  </si>
  <si>
    <t>Buses operated by NJ Transit</t>
  </si>
  <si>
    <t>Buses leased to private carriers</t>
  </si>
  <si>
    <t>Rail Operations</t>
  </si>
  <si>
    <t>Rail passenger cars</t>
  </si>
  <si>
    <t>Locomotives</t>
  </si>
  <si>
    <t>Light Rail Operations</t>
  </si>
  <si>
    <t>NJ Transit System</t>
  </si>
  <si>
    <t>Revenue/cost ratio (includes corporate overhead)</t>
  </si>
  <si>
    <t>Positions:</t>
  </si>
  <si>
    <t>Bus Operations</t>
  </si>
  <si>
    <t>Police Operations</t>
  </si>
  <si>
    <t>Office of System Safety</t>
  </si>
  <si>
    <t>Corporate Operations</t>
  </si>
  <si>
    <t>Capital Operations</t>
  </si>
  <si>
    <t>Actual payroll counts are reported for fiscal years 2016 and 2017 as of June and revised fiscal 2018 as of January.  The budget estimate for fiscal 2019 reflects the number of positions funded.  New Jersey Transit payroll counts are not included in State workforce data.</t>
  </si>
  <si>
    <t>64</t>
  </si>
  <si>
    <t>Regulation and General Management</t>
  </si>
  <si>
    <t>Multimodal Services</t>
  </si>
  <si>
    <t>Department Of The Treasury</t>
  </si>
  <si>
    <t>Utility Regulation</t>
  </si>
  <si>
    <t>Utilities Regulated</t>
  </si>
  <si>
    <t>Electric</t>
  </si>
  <si>
    <t>Gas</t>
  </si>
  <si>
    <t>Telephone and telegraph</t>
  </si>
  <si>
    <t>Water and sewer</t>
  </si>
  <si>
    <t>Municipal water companies</t>
  </si>
  <si>
    <t>Cable TV (basic service)</t>
  </si>
  <si>
    <t>Cases Pending June 30</t>
  </si>
  <si>
    <t>Cable TV</t>
  </si>
  <si>
    <t>Telephone</t>
  </si>
  <si>
    <t>Audits, rates, tariff revisions, generic rulemaking, other</t>
  </si>
  <si>
    <t>Customer Relations</t>
  </si>
  <si>
    <t xml:space="preserve">Consumer complaints (verbals) </t>
  </si>
  <si>
    <t xml:space="preserve">Consumer complaints (walk-ins) </t>
  </si>
  <si>
    <t xml:space="preserve">Consumer information requests </t>
  </si>
  <si>
    <t xml:space="preserve">Consumer complaints (letters) </t>
  </si>
  <si>
    <t xml:space="preserve">Consumer e-mails received </t>
  </si>
  <si>
    <t>Total calls received</t>
  </si>
  <si>
    <t>Reliability and Security</t>
  </si>
  <si>
    <t>One-call cases for review</t>
  </si>
  <si>
    <t>One-call cases handled</t>
  </si>
  <si>
    <t>Meter tests conducted</t>
  </si>
  <si>
    <t>Gas pipeline inspections</t>
  </si>
  <si>
    <t>Regulation of Cable Television</t>
  </si>
  <si>
    <t>Cable television systems</t>
  </si>
  <si>
    <t>Number of municipalities w/certification for operation</t>
  </si>
  <si>
    <t>Cable television subscribers (thousands)</t>
  </si>
  <si>
    <t>Electric Power Suppliers and Gas Suppliers</t>
  </si>
  <si>
    <t>Electric suppliers - applications</t>
  </si>
  <si>
    <t>Electric suppliers - renewal applications</t>
  </si>
  <si>
    <t>Electric suppliers - final licenses</t>
  </si>
  <si>
    <t>Electric suppliers - renewal licenses</t>
  </si>
  <si>
    <t>Gas suppliers - applications</t>
  </si>
  <si>
    <t>Gas suppliers - renewal applications</t>
  </si>
  <si>
    <t>Gas suppliers - final licenses</t>
  </si>
  <si>
    <t>Gas suppliers - renewal licenses</t>
  </si>
  <si>
    <t>Green power marketers - renewal licenses</t>
  </si>
  <si>
    <t>Energy Agent and Private Aggregator Registration</t>
  </si>
  <si>
    <t>Energy agents - applications</t>
  </si>
  <si>
    <t>Energy agents - renewal applications</t>
  </si>
  <si>
    <t>Energy agents - final registration</t>
  </si>
  <si>
    <t>Private aggregators - applications</t>
  </si>
  <si>
    <t>Private aggregators - renewal registrations</t>
  </si>
  <si>
    <t>Private aggregators - final registration</t>
  </si>
  <si>
    <t>Energy consultants - renewal registrations</t>
  </si>
  <si>
    <t>Energy consultants - final registrations</t>
  </si>
  <si>
    <t>Energy Resource Management</t>
  </si>
  <si>
    <t>Clean Energy Program - Participation</t>
  </si>
  <si>
    <t>Energy efficiency - residential</t>
  </si>
  <si>
    <t>Energy efficiency - commercial and industrial</t>
  </si>
  <si>
    <t>Renewable energy (rebates only)</t>
  </si>
  <si>
    <t>Total incentives</t>
  </si>
  <si>
    <t>Energy Assistance Programs (a) (b)</t>
  </si>
  <si>
    <t>Lifeline Credit Program - Population Data</t>
  </si>
  <si>
    <t>Supplemental Security Income</t>
  </si>
  <si>
    <t>NJ FamilyCare only</t>
  </si>
  <si>
    <t>Lifeline only</t>
  </si>
  <si>
    <t>Total recipients</t>
  </si>
  <si>
    <t>Tenants' Assistance Rebate Program - Population Data</t>
  </si>
  <si>
    <t>Regulatory Support Services</t>
  </si>
  <si>
    <t>(a) The Energy Assistance Programs are administered by the Department of Human Services.  Funding for these programs is provided through the Board of Public Utilities' Universal Service Fund.</t>
  </si>
  <si>
    <t>(b) Lifeline Credit Program and Tenants' Assistance Rebate Program recipients are expected to increase in fiscal 2018 and fiscal 2019 due to a new application campaign.</t>
  </si>
  <si>
    <t>72</t>
  </si>
  <si>
    <t>2066</t>
  </si>
  <si>
    <t>Office of the State Comptroller</t>
  </si>
  <si>
    <t>Federal supported</t>
  </si>
  <si>
    <t>Office of Management and Budget</t>
  </si>
  <si>
    <t>Number of checks avoided by electronic funds transfer</t>
  </si>
  <si>
    <t>Percent of "Unqualified" audit opinion ratings on the comprehensive financial report (for the last five years) (a)</t>
  </si>
  <si>
    <t>Employee Relations and Collective Negotiations</t>
  </si>
  <si>
    <t xml:space="preserve"> Actual payroll counts are reported for fiscal years 2016 and 2017 as of December and revised fiscal 2018 as of January. The budget estimate for fiscal 2019 reflects the number of positions funded.</t>
  </si>
  <si>
    <t>(a) "Unqualified" is the highest opinion rating in conformity with generally accepted accounting principles.</t>
  </si>
  <si>
    <t>Statewide</t>
  </si>
  <si>
    <t>73</t>
  </si>
  <si>
    <t>Taxation Services and Administration</t>
  </si>
  <si>
    <t>Customer services</t>
  </si>
  <si>
    <t>Telephone inquiries</t>
  </si>
  <si>
    <t>Gross income tax filings through NJ WebFile</t>
  </si>
  <si>
    <t>Total tax returns filed through NJ WebFile</t>
  </si>
  <si>
    <t>E-mail inquiries</t>
  </si>
  <si>
    <t>Regulatory services</t>
  </si>
  <si>
    <t>Correspondence</t>
  </si>
  <si>
    <t>Taxpayer accounting</t>
  </si>
  <si>
    <t>Enforcement</t>
  </si>
  <si>
    <t>Audits</t>
  </si>
  <si>
    <t>Average number of auditors</t>
  </si>
  <si>
    <t>Assessment amount</t>
  </si>
  <si>
    <t>Audits completed</t>
  </si>
  <si>
    <t>Average assessment/auditor</t>
  </si>
  <si>
    <t>Compliance</t>
  </si>
  <si>
    <t>Number of collectors</t>
  </si>
  <si>
    <t>Collections</t>
  </si>
  <si>
    <t>Number of closed cases</t>
  </si>
  <si>
    <t>Average collection per collector</t>
  </si>
  <si>
    <t>Bankruptcy claims</t>
  </si>
  <si>
    <t>Judgments</t>
  </si>
  <si>
    <t>Deferred payment plans</t>
  </si>
  <si>
    <t>Third party collection of delinquent/deficient taxes</t>
  </si>
  <si>
    <t>Criminal investigations</t>
  </si>
  <si>
    <t>Prosecution recommendations</t>
  </si>
  <si>
    <t>Billings mailed</t>
  </si>
  <si>
    <t>Individual</t>
  </si>
  <si>
    <t>Business</t>
  </si>
  <si>
    <t>Refunds reviewed</t>
  </si>
  <si>
    <t>Property administration</t>
  </si>
  <si>
    <t>Real estate appraisals-inheritance tax</t>
  </si>
  <si>
    <t>Informal assessors' appeals</t>
  </si>
  <si>
    <t>Sales ratio study</t>
  </si>
  <si>
    <t>Sales evaluated</t>
  </si>
  <si>
    <t>Sales investigated</t>
  </si>
  <si>
    <t>Administration of State Lottery</t>
  </si>
  <si>
    <t>Agents</t>
  </si>
  <si>
    <t>Drawings</t>
  </si>
  <si>
    <t>Net sales (millions)</t>
  </si>
  <si>
    <t>Cents spent to generate one sales dollar</t>
  </si>
  <si>
    <t>Cents spent to generate one government dollar</t>
  </si>
  <si>
    <t>Government revenue as a percent of sales</t>
  </si>
  <si>
    <t>Administration of State Revenues and Enterprise Services</t>
  </si>
  <si>
    <t>Documents processed</t>
  </si>
  <si>
    <t>Gross income tax</t>
  </si>
  <si>
    <t>Gross income tax-archival imaged</t>
  </si>
  <si>
    <t>Corporation business tax</t>
  </si>
  <si>
    <t xml:space="preserve">Employer wage reports (form WR-30)-manual </t>
  </si>
  <si>
    <t>Property tax reimbursement forms</t>
  </si>
  <si>
    <t>All taxes-remittance processed</t>
  </si>
  <si>
    <t>Gross income tax payments and extensions-manual</t>
  </si>
  <si>
    <t>Taxes other than gross income tax-manual</t>
  </si>
  <si>
    <t>Motor Vehicle Commission registrations</t>
  </si>
  <si>
    <t>Total documents processed</t>
  </si>
  <si>
    <t>Alternate filing</t>
  </si>
  <si>
    <t>Individual electronic filing</t>
  </si>
  <si>
    <t>Combined employer return (form 927)</t>
  </si>
  <si>
    <t>Employer reports of wages paid (form WR-30)</t>
  </si>
  <si>
    <t>Number of payments via electronic fund transfer</t>
  </si>
  <si>
    <t>Client registrations</t>
  </si>
  <si>
    <t>Registration file updates</t>
  </si>
  <si>
    <t>310, 334</t>
  </si>
  <si>
    <t xml:space="preserve">Licenses issued (cigarette and motor fuels) </t>
  </si>
  <si>
    <t>Collection activity</t>
  </si>
  <si>
    <t>Motor Vehicle Commission surcharge contract</t>
  </si>
  <si>
    <t>Number of SOIL setoffs</t>
  </si>
  <si>
    <t>Revenue accounting</t>
  </si>
  <si>
    <t>Checks processed</t>
  </si>
  <si>
    <t>Electronic invoices</t>
  </si>
  <si>
    <t>Bills generated (Department of Environmental Protection)</t>
  </si>
  <si>
    <t>Dishonored checks</t>
  </si>
  <si>
    <t>Cigarette stamps sold</t>
  </si>
  <si>
    <t>Business support services</t>
  </si>
  <si>
    <t>Corporations and related filings</t>
  </si>
  <si>
    <t>Corporations information request</t>
  </si>
  <si>
    <t>Annual reports</t>
  </si>
  <si>
    <t>Uniform commercial code filings</t>
  </si>
  <si>
    <t>Uniform commercial code searches</t>
  </si>
  <si>
    <t>Notary and related transactions</t>
  </si>
  <si>
    <t>Trade name/trademark and related transactions</t>
  </si>
  <si>
    <t>Records Management</t>
  </si>
  <si>
    <t>Micro/Digital-images produced</t>
  </si>
  <si>
    <t>Records received (cubic storage feet)</t>
  </si>
  <si>
    <t>Records disposed (cubic feet)</t>
  </si>
  <si>
    <t>Reference requests (storage)</t>
  </si>
  <si>
    <t xml:space="preserve">Office of Treasury Technology data </t>
  </si>
  <si>
    <t>Desktop services</t>
  </si>
  <si>
    <t>Personal computers supported</t>
  </si>
  <si>
    <t>Printers supported</t>
  </si>
  <si>
    <t>Help desk service requests</t>
  </si>
  <si>
    <t>Applications support</t>
  </si>
  <si>
    <t>Applications maintained</t>
  </si>
  <si>
    <t>Client application service requests received</t>
  </si>
  <si>
    <t>Local Area Network administration (LAN)</t>
  </si>
  <si>
    <t>LAN servers supported</t>
  </si>
  <si>
    <t>Users supported</t>
  </si>
  <si>
    <t xml:space="preserve">Help desk service requests </t>
  </si>
  <si>
    <t>LAN printers supported</t>
  </si>
  <si>
    <t>Network switches supported</t>
  </si>
  <si>
    <t xml:space="preserve">Administration of Casino Gambling </t>
  </si>
  <si>
    <t xml:space="preserve">Number of casinos in operation </t>
  </si>
  <si>
    <t>Number of internet gaming affiliates in operation</t>
  </si>
  <si>
    <t>Number of interim casino authorizations and/or casino license applications</t>
  </si>
  <si>
    <t>Casino key employee licenses:</t>
  </si>
  <si>
    <t>Initial</t>
  </si>
  <si>
    <t>Resubmissions</t>
  </si>
  <si>
    <t>Temporary</t>
  </si>
  <si>
    <t>Multi-casino endorsements issued</t>
  </si>
  <si>
    <t xml:space="preserve">Audits performed </t>
  </si>
  <si>
    <t>Contested case proceedings</t>
  </si>
  <si>
    <t>Casino qualifiers</t>
  </si>
  <si>
    <t>Qualifiers with key license</t>
  </si>
  <si>
    <t>Qualifiers with key license and multi-casino endorsement</t>
  </si>
  <si>
    <t>Suspense, revocations and violation appeals</t>
  </si>
  <si>
    <t>Miscellaneous motions and petitions</t>
  </si>
  <si>
    <t>Casino parking fee annual audits</t>
  </si>
  <si>
    <t>Unclaimed Property Trust Fund Administration</t>
  </si>
  <si>
    <t>Unclaimed Property</t>
  </si>
  <si>
    <t>Reports filed</t>
  </si>
  <si>
    <t>Intestates/escheated estates</t>
  </si>
  <si>
    <t>All other (c)</t>
  </si>
  <si>
    <t>Total positions (c)</t>
  </si>
  <si>
    <t xml:space="preserve">Administration of State Lottery </t>
  </si>
  <si>
    <t xml:space="preserve">Administration of State Revenues and Enterprise Services </t>
  </si>
  <si>
    <t>Management of State Investments</t>
  </si>
  <si>
    <t>Administration of Casino Gambling</t>
  </si>
  <si>
    <t xml:space="preserve">Unclaimed Property Trust Fund Administration </t>
  </si>
  <si>
    <t>(a) Beginning in fiscal 2018 Motor Fuel licenses are no longer included.</t>
  </si>
  <si>
    <t>(b) Reflects effort to address audit backlog.</t>
  </si>
  <si>
    <t xml:space="preserve">(c) Beginning in fiscal 2018 the Administration of State Lottery will be shifted from State supported to All other due to the passage of the Lottery Enterprise Contribution Act, P.L.2017, c.98, effective July 1, 2017. </t>
  </si>
  <si>
    <t>2026</t>
  </si>
  <si>
    <t>Adjudication of Administrative Appeals</t>
  </si>
  <si>
    <t>Cases pending as of July 1</t>
  </si>
  <si>
    <t>Cases filed</t>
  </si>
  <si>
    <t>Cases disposed of</t>
  </si>
  <si>
    <t xml:space="preserve">Cases pending as of June 30 </t>
  </si>
  <si>
    <t>Cases disposed of per judge</t>
  </si>
  <si>
    <t>2034</t>
  </si>
  <si>
    <t xml:space="preserve">Server Environment </t>
  </si>
  <si>
    <t xml:space="preserve">UNIX environment  </t>
  </si>
  <si>
    <t xml:space="preserve">Other environments </t>
  </si>
  <si>
    <t>OIT hosted/Client supported</t>
  </si>
  <si>
    <t>Storage Area Network (terabytes)</t>
  </si>
  <si>
    <t>Telecommunications Infrastructure</t>
  </si>
  <si>
    <t xml:space="preserve">Data Network (Garden State Network) </t>
  </si>
  <si>
    <t>Network nodes (major core facilities)</t>
  </si>
  <si>
    <t>Router infrastructure (central location)</t>
  </si>
  <si>
    <t>Router infrastructure (distributed locations)</t>
  </si>
  <si>
    <t>Client locations supported</t>
  </si>
  <si>
    <t>Metro ethernet circuits</t>
  </si>
  <si>
    <t>State internet access (bandwidth in mbps)</t>
  </si>
  <si>
    <t>Secured Remote Access</t>
  </si>
  <si>
    <t>IPSec extranets</t>
  </si>
  <si>
    <t>State employee VPN connections</t>
  </si>
  <si>
    <t>Third-party vendor VPN connections</t>
  </si>
  <si>
    <t>State field worker VPN connections</t>
  </si>
  <si>
    <t>Production Services and User Support</t>
  </si>
  <si>
    <t>Transactions</t>
  </si>
  <si>
    <t xml:space="preserve">Checks produced (millions) </t>
  </si>
  <si>
    <t>User Support</t>
  </si>
  <si>
    <t>User logon IDs (mainframe only)</t>
  </si>
  <si>
    <t>User calls to the help desk (network call center)</t>
  </si>
  <si>
    <t xml:space="preserve">Applications Development and Maintenance  </t>
  </si>
  <si>
    <t>Affinity Group Applications Supported (a)</t>
  </si>
  <si>
    <t>Administrative Services</t>
  </si>
  <si>
    <t>Business and Community</t>
  </si>
  <si>
    <t>Health and Social Services</t>
  </si>
  <si>
    <t>Public Safety</t>
  </si>
  <si>
    <t>Workforce Enhancement</t>
  </si>
  <si>
    <t>Total affinity group applications supported</t>
  </si>
  <si>
    <t xml:space="preserve">Geographic Information System </t>
  </si>
  <si>
    <t>Applications under development</t>
  </si>
  <si>
    <t>Applications in maintenance mode</t>
  </si>
  <si>
    <t>Web Site</t>
  </si>
  <si>
    <t>Web sites under development</t>
  </si>
  <si>
    <t>Web sites in maintenance mode</t>
  </si>
  <si>
    <t>Online State Portal Usage</t>
  </si>
  <si>
    <t>Number of users (thousands)</t>
  </si>
  <si>
    <t>Number of logins (thousands)</t>
  </si>
  <si>
    <t>Data Management Services</t>
  </si>
  <si>
    <t>Databases Administered</t>
  </si>
  <si>
    <t>Mainframe (IBM)</t>
  </si>
  <si>
    <t>Mainframe (BULL)</t>
  </si>
  <si>
    <t>Distributed (Oracle)</t>
  </si>
  <si>
    <t>Distributed (SQL server)</t>
  </si>
  <si>
    <t>Total databases administered</t>
  </si>
  <si>
    <t>Data Warehousing &amp; Business Intelligence</t>
  </si>
  <si>
    <t>Data warehouse environment data (gigabytes)</t>
  </si>
  <si>
    <t>Data warehouse end users</t>
  </si>
  <si>
    <t>Number of participating agencies</t>
  </si>
  <si>
    <t>Data Architecture</t>
  </si>
  <si>
    <t>Subject area models in development</t>
  </si>
  <si>
    <t>Subject area models in catalog</t>
  </si>
  <si>
    <t>Total subject area models</t>
  </si>
  <si>
    <t>(a) Due to Executive Order 225, effective July 22, 2017, OIT no longer supports agency specific applications.  Enterprise systems remain in the portfolio and are reflected in the Administrative Services Affinity group.</t>
  </si>
  <si>
    <t>Purchasing and Inventory Management</t>
  </si>
  <si>
    <t>Vendor purchases (millions)</t>
  </si>
  <si>
    <t>State contracts</t>
  </si>
  <si>
    <t>Pensions and Benefits</t>
  </si>
  <si>
    <t>Defined benefit retirement systems</t>
  </si>
  <si>
    <t>Assets, all funds (thousands)</t>
  </si>
  <si>
    <t>Benefit payments (thousands)</t>
  </si>
  <si>
    <t>Lump sum death benefit payments (thousands)</t>
  </si>
  <si>
    <t>Member loans outstanding (thousands)</t>
  </si>
  <si>
    <t>Health benefit payments</t>
  </si>
  <si>
    <t>Medical (thousands)</t>
  </si>
  <si>
    <t>Prescription drug (thousands)</t>
  </si>
  <si>
    <t>Dental (thousands)</t>
  </si>
  <si>
    <t>Other benefit plan payments</t>
  </si>
  <si>
    <t>Membership, all retirement systems</t>
  </si>
  <si>
    <t>Retired members and beneficiaries</t>
  </si>
  <si>
    <t>Membership, other systems</t>
  </si>
  <si>
    <t>Supplemental annuity</t>
  </si>
  <si>
    <t>Health benefits program members</t>
  </si>
  <si>
    <t>Health benefits program covered lives</t>
  </si>
  <si>
    <t>Prescription drug program members</t>
  </si>
  <si>
    <t>Prescription drug program covered lives</t>
  </si>
  <si>
    <t>Dental program members</t>
  </si>
  <si>
    <t>Dental program covered lives</t>
  </si>
  <si>
    <t>Benefit processing data</t>
  </si>
  <si>
    <t>New enrollments or transfers</t>
  </si>
  <si>
    <t>Adjustments to accounts</t>
  </si>
  <si>
    <t>Withdrawals</t>
  </si>
  <si>
    <t>Death claims</t>
  </si>
  <si>
    <t>Beneficiary changes</t>
  </si>
  <si>
    <t>New retirements</t>
  </si>
  <si>
    <t>Service purchase requests</t>
  </si>
  <si>
    <t>Member loans</t>
  </si>
  <si>
    <t>Client services</t>
  </si>
  <si>
    <t>Interviews</t>
  </si>
  <si>
    <t>Email</t>
  </si>
  <si>
    <t>Internet inquiries</t>
  </si>
  <si>
    <t>MBOS/EPIC visits</t>
  </si>
  <si>
    <t>Seminars/Webinars</t>
  </si>
  <si>
    <t>Property Management and Construction - Property Management Services</t>
  </si>
  <si>
    <t>Leased facilities</t>
  </si>
  <si>
    <t>Area in square feet (leased facilities)</t>
  </si>
  <si>
    <t>State-owned space maintained (square feet)</t>
  </si>
  <si>
    <t>Garden State Preservation Trust</t>
  </si>
  <si>
    <t xml:space="preserve">Purchasing and Inventory Management </t>
  </si>
  <si>
    <t>Public Broadcasting Services</t>
  </si>
  <si>
    <t>Property Management and Construction</t>
  </si>
  <si>
    <t>Risk Management</t>
  </si>
  <si>
    <t>Capitol Post Office</t>
  </si>
  <si>
    <t>Locally Provided Assistance</t>
  </si>
  <si>
    <t>Highlands Protection Fund - Planning Grants (a)</t>
  </si>
  <si>
    <t>Number of Plan Conformance Grant Participants</t>
  </si>
  <si>
    <t>Average planning grant award (municipalities and counties)</t>
  </si>
  <si>
    <t>Acres of lands in the Highlands Region in plan conformance process (48% required)</t>
  </si>
  <si>
    <t>Municipal petitions for plan conformance (59% required) (b)</t>
  </si>
  <si>
    <t>Approval of complete municipal petitions</t>
  </si>
  <si>
    <t xml:space="preserve">Completion of Highlands municipal build-out reports </t>
  </si>
  <si>
    <t>Municipal adoption of environmental resource inventories</t>
  </si>
  <si>
    <t>Municipal adoption of Highlands Master Plan elements</t>
  </si>
  <si>
    <t>Municipal adoption of Master Plan Reexamination Reports</t>
  </si>
  <si>
    <t>Municipal adoption of land use ordinances</t>
  </si>
  <si>
    <t>Highlands Council completed draft wastewater management plans (c)</t>
  </si>
  <si>
    <t>Municipal adoption of Fair Share Housing Plans</t>
  </si>
  <si>
    <t>County petitions for plan conformance (100% required)</t>
  </si>
  <si>
    <t>County adoption of plan conformance components</t>
  </si>
  <si>
    <t>Homestead Exemptions</t>
  </si>
  <si>
    <t xml:space="preserve">Homestead Benefit Program </t>
  </si>
  <si>
    <t>Number of senior and disabled homeowner recipients</t>
  </si>
  <si>
    <t>Average senior and disabled homeowner benefit</t>
  </si>
  <si>
    <t>Number of non-senior/non-disabled homeowner recipients</t>
  </si>
  <si>
    <t>Average non-senior/non-disabled homeowner benefit</t>
  </si>
  <si>
    <t>Senior and Disabled Citizens' Property Tax Freeze</t>
  </si>
  <si>
    <t>Number of new recipients</t>
  </si>
  <si>
    <t>Average new recipient benefit</t>
  </si>
  <si>
    <t>Number of repeat recipients</t>
  </si>
  <si>
    <t>Average repeat recipient benefit</t>
  </si>
  <si>
    <t>Senior/Disabled Citizens' and Veterans' Property Tax Deductions</t>
  </si>
  <si>
    <t xml:space="preserve">Senior and Disabled Citizens' Property Tax Deductions </t>
  </si>
  <si>
    <t>Number of recipients</t>
  </si>
  <si>
    <t xml:space="preserve">Veterans' Property Tax Deductions </t>
  </si>
  <si>
    <t>(a) Funding for the administrative expenses of the Highlands Council is budgeted separately in the Department of Environmental Protection.</t>
  </si>
  <si>
    <t>(b) Percentages are based on all 88 municipalities, or 7 counties, within the Highlands Region, although not all are required to participate.</t>
  </si>
  <si>
    <t>(c) Subject to Department of Environmental Protection adoption in accordance with N.J.A.C.7:15 Water Quality Management Planning (WQMP) regulations.</t>
  </si>
  <si>
    <t xml:space="preserve">Female minority </t>
  </si>
  <si>
    <t xml:space="preserve">Total minority </t>
  </si>
  <si>
    <t>Department of Treasury</t>
  </si>
  <si>
    <t>Protection of Inmates' Rights</t>
  </si>
  <si>
    <t>2096</t>
  </si>
  <si>
    <t>Cases processed</t>
  </si>
  <si>
    <t>Dispositions per representatives</t>
  </si>
  <si>
    <t>Number of representatives</t>
  </si>
  <si>
    <t>Telephone contacts</t>
  </si>
  <si>
    <t>2097</t>
  </si>
  <si>
    <t xml:space="preserve">Elder Advocacy </t>
  </si>
  <si>
    <t>Office of the Ombudsperson</t>
  </si>
  <si>
    <t>Institutionalized elderly</t>
  </si>
  <si>
    <t>Other elderly assisted through outreach</t>
  </si>
  <si>
    <t>Complaints received:</t>
  </si>
  <si>
    <t>Involving patient funds</t>
  </si>
  <si>
    <t>Involving care/abuse/neglect</t>
  </si>
  <si>
    <t>Nursing homes visited</t>
  </si>
  <si>
    <t>Boarding homes, assisted living facilities visited</t>
  </si>
  <si>
    <t>Other facilities visited</t>
  </si>
  <si>
    <t>Residential health care/psychiatric and developmental centers visits</t>
  </si>
  <si>
    <t>Cases referred to enforcement agencies</t>
  </si>
  <si>
    <t>Elder Advocacy</t>
  </si>
  <si>
    <t>Department Of The Public Advocate</t>
  </si>
  <si>
    <t>2098</t>
  </si>
  <si>
    <t>Rate Counsel</t>
  </si>
  <si>
    <t>Utility Cases</t>
  </si>
  <si>
    <t xml:space="preserve">Telephone </t>
  </si>
  <si>
    <t>Water/sewer</t>
  </si>
  <si>
    <t>Other Utility Matters</t>
  </si>
  <si>
    <t>Clean energy</t>
  </si>
  <si>
    <t>Insurance</t>
  </si>
  <si>
    <t>Federal Energy Regulation Commission (FERC)</t>
  </si>
  <si>
    <t>Generic (a)</t>
  </si>
  <si>
    <t>Cable Television</t>
  </si>
  <si>
    <t>Cable television (generic cable)</t>
  </si>
  <si>
    <t>(a) Cases that were formerly categorized as Generic have been categorized into other categories beginning in fiscal 2017.</t>
  </si>
  <si>
    <t>Appellate Services to Indigents</t>
  </si>
  <si>
    <t>Cases open (July 1)</t>
  </si>
  <si>
    <t>Added</t>
  </si>
  <si>
    <t>Closed</t>
  </si>
  <si>
    <t>Open (June 30)</t>
  </si>
  <si>
    <t>Backlog (months)</t>
  </si>
  <si>
    <t>Excessive Sentence Program dispositions</t>
  </si>
  <si>
    <t>Dismissals</t>
  </si>
  <si>
    <t>Reversals and modifications</t>
  </si>
  <si>
    <t>Trial Services to Indigents</t>
  </si>
  <si>
    <t>Special Hearings Unit - Megan's Law</t>
  </si>
  <si>
    <t>Intensive Supervision Program</t>
  </si>
  <si>
    <t>Office of Law Guardian</t>
  </si>
  <si>
    <t>Title 9</t>
  </si>
  <si>
    <t xml:space="preserve">Conflict Investigations Unit-investigations completed </t>
  </si>
  <si>
    <t>Title 30</t>
  </si>
  <si>
    <t>Open (June 30) (a)</t>
  </si>
  <si>
    <t xml:space="preserve">Appellate </t>
  </si>
  <si>
    <t xml:space="preserve">Open (June 30) </t>
  </si>
  <si>
    <t>Office of Parental Representation</t>
  </si>
  <si>
    <t>Appellate</t>
  </si>
  <si>
    <t>Division of Mental Health Advocacy</t>
  </si>
  <si>
    <t>Mental health screening services</t>
  </si>
  <si>
    <t>Regional representation</t>
  </si>
  <si>
    <t>Dispositions per staff attorney</t>
  </si>
  <si>
    <t xml:space="preserve">Sexual offender representation </t>
  </si>
  <si>
    <t>Active cases</t>
  </si>
  <si>
    <t>Dispute Settlement Services</t>
  </si>
  <si>
    <t>Foreclosure mediation (b)</t>
  </si>
  <si>
    <t>Court mediation (b)</t>
  </si>
  <si>
    <t>New Home Warranty arbitrations (State plan) (c)</t>
  </si>
  <si>
    <t>New Home Warranty arbitrations (Private plan) (c)</t>
  </si>
  <si>
    <t>(a) Fiscal 2016 and 2017 data does not include active post-termination cases totaling 1,636 and 1,705, respectively.</t>
  </si>
  <si>
    <t>(b) Dispute Settlement services are eliminated, effective July 1, 2017.</t>
  </si>
  <si>
    <t>(c) Dispute Settlement services are eliminated, effective July 1, 2018.</t>
  </si>
  <si>
    <t>90</t>
  </si>
  <si>
    <t>Miscellaneous Commissions</t>
  </si>
  <si>
    <t>9148</t>
  </si>
  <si>
    <t>Council on Local Mandates</t>
  </si>
  <si>
    <t>Judicial Retirement System</t>
  </si>
  <si>
    <t>Assets</t>
  </si>
  <si>
    <t>Active members</t>
  </si>
  <si>
    <t>Pensioners</t>
  </si>
  <si>
    <t>Annual pensions</t>
  </si>
  <si>
    <t>Lump sum death benefits</t>
  </si>
  <si>
    <t>Prison Officers' Pension Fund</t>
  </si>
  <si>
    <t>Public Employees' Retirement System</t>
  </si>
  <si>
    <t>Total members</t>
  </si>
  <si>
    <t>State (Active)</t>
  </si>
  <si>
    <t>State (Inactive)</t>
  </si>
  <si>
    <t xml:space="preserve">State Police Retirement System </t>
  </si>
  <si>
    <t>Active</t>
  </si>
  <si>
    <t>Inactive</t>
  </si>
  <si>
    <t>Police and Firemen's Retirement System</t>
  </si>
  <si>
    <t>Alternate Benefit Program</t>
  </si>
  <si>
    <t>Total active members</t>
  </si>
  <si>
    <t>County</t>
  </si>
  <si>
    <t>Defined Contribution Retirement Program</t>
  </si>
  <si>
    <t>Teachers' Pension and Annuity Fund</t>
  </si>
  <si>
    <t>Consolidated Police &amp; Firemen's Pension Fund</t>
  </si>
  <si>
    <t>Health Benefits Program</t>
  </si>
  <si>
    <t>Covered members</t>
  </si>
  <si>
    <t>98</t>
  </si>
  <si>
    <t>15</t>
  </si>
  <si>
    <t>Supreme Court</t>
  </si>
  <si>
    <t>Court Year--July 1 to June 30</t>
  </si>
  <si>
    <t>Appeals</t>
  </si>
  <si>
    <t xml:space="preserve">Pending </t>
  </si>
  <si>
    <t>Certifications added</t>
  </si>
  <si>
    <t>Motions added</t>
  </si>
  <si>
    <t>Disciplinary proceedings added</t>
  </si>
  <si>
    <t>Superior Court-Appellate Division</t>
  </si>
  <si>
    <t>Appeals (a)</t>
  </si>
  <si>
    <t>Pending June 30</t>
  </si>
  <si>
    <t>Civil Courts</t>
  </si>
  <si>
    <t>Civil cases</t>
  </si>
  <si>
    <t>Resolved</t>
  </si>
  <si>
    <t>Special civil</t>
  </si>
  <si>
    <t>Probate</t>
  </si>
  <si>
    <t>General equity</t>
  </si>
  <si>
    <t>Automobile arbitration (b)</t>
  </si>
  <si>
    <t xml:space="preserve">Cases scheduled </t>
  </si>
  <si>
    <t>Cases removed</t>
  </si>
  <si>
    <t>Cases settled prior to hearing</t>
  </si>
  <si>
    <t>Cases arbitrated</t>
  </si>
  <si>
    <t>Trial de novo requests</t>
  </si>
  <si>
    <t>Trials de novo completed</t>
  </si>
  <si>
    <t>Personal Injury arbitration (b)</t>
  </si>
  <si>
    <t>Cases scheduled</t>
  </si>
  <si>
    <t>Other Civil arbitration (b)</t>
  </si>
  <si>
    <t>Presumptive mediation (b)</t>
  </si>
  <si>
    <t>Cases referred</t>
  </si>
  <si>
    <t>Completed mediation</t>
  </si>
  <si>
    <t>Agreement reached</t>
  </si>
  <si>
    <t>Partial agreement</t>
  </si>
  <si>
    <t>No agreement</t>
  </si>
  <si>
    <t>Tax Court</t>
  </si>
  <si>
    <t>Local &amp; State appeals</t>
  </si>
  <si>
    <t>Criminal Courts</t>
  </si>
  <si>
    <t>Criminal post-indictment</t>
  </si>
  <si>
    <t>Municipal appeals</t>
  </si>
  <si>
    <t>Post-conviction relief</t>
  </si>
  <si>
    <t>Drug Court program</t>
  </si>
  <si>
    <t>Current active cases</t>
  </si>
  <si>
    <t>Number of graduates</t>
  </si>
  <si>
    <t>Family Courts</t>
  </si>
  <si>
    <t>Dissolution</t>
  </si>
  <si>
    <t>Juvenile delinquency</t>
  </si>
  <si>
    <t>Non-dissolution</t>
  </si>
  <si>
    <t>Domestic violence</t>
  </si>
  <si>
    <t>Abuse/neglect complaints</t>
  </si>
  <si>
    <t>Adoption complaints</t>
  </si>
  <si>
    <t>Child placement review</t>
  </si>
  <si>
    <t>Juvenile/family crisis petition</t>
  </si>
  <si>
    <t>Kinship Legal Guardian (KLG)</t>
  </si>
  <si>
    <t>Termination of parental rights complaints</t>
  </si>
  <si>
    <t>Criminal/quasi-criminal</t>
  </si>
  <si>
    <t>Combined Trial Courts</t>
  </si>
  <si>
    <t>Volunteer services (c)</t>
  </si>
  <si>
    <t>Number of volunteers</t>
  </si>
  <si>
    <t>Number of volunteer hours served</t>
  </si>
  <si>
    <t>Municipal Courts</t>
  </si>
  <si>
    <t>Non-traffic violations</t>
  </si>
  <si>
    <t>Indictables</t>
  </si>
  <si>
    <t>Disorderly person</t>
  </si>
  <si>
    <t>Other non-traffic</t>
  </si>
  <si>
    <t>Traffic violations</t>
  </si>
  <si>
    <t>Drunk driving</t>
  </si>
  <si>
    <t>Moving violations</t>
  </si>
  <si>
    <t>Parking</t>
  </si>
  <si>
    <t>Probation Services</t>
  </si>
  <si>
    <t xml:space="preserve">Adult Supervision clients   </t>
  </si>
  <si>
    <t xml:space="preserve">Juvenile Supervision clients </t>
  </si>
  <si>
    <t xml:space="preserve">Core services clients </t>
  </si>
  <si>
    <t>Intensive Supervision Program (ISP)</t>
  </si>
  <si>
    <t xml:space="preserve">Applications  </t>
  </si>
  <si>
    <t xml:space="preserve">Assessment reports </t>
  </si>
  <si>
    <t>Resentencing panel hearings</t>
  </si>
  <si>
    <t xml:space="preserve">Revocations </t>
  </si>
  <si>
    <t>Juvenile Intensive Supervision Program (JISP)</t>
  </si>
  <si>
    <t>Assessment reports</t>
  </si>
  <si>
    <t>Revocations</t>
  </si>
  <si>
    <t>Child Support &amp; Paternity - Title IV-D</t>
  </si>
  <si>
    <t>Child support cases</t>
  </si>
  <si>
    <t>Public Affairs and Education</t>
  </si>
  <si>
    <t>Information Services</t>
  </si>
  <si>
    <t>Trial Court Services</t>
  </si>
  <si>
    <t>Actual payroll counts are reported for fiscal years 2016 and 2017 as of December and revised fiscal 2018 as of January. The funded position count for fiscal 2019 will be determined by the Judiciary.</t>
  </si>
  <si>
    <t>The calculation of pending, plus added, less disposed may not total.</t>
  </si>
  <si>
    <t>(a) The Judiciary anticipates an increase in appeals added to the Superior Court due to the enactment of the Criminal Justice Reform Act, P.L.2014, c.31, effective January 1, 2017.</t>
  </si>
  <si>
    <t>(b) Figures for all arbitration and presumptive mediation cases are the same for fiscal 2017, 2018 and 2019 due to stable Civil Court caseload levels.</t>
  </si>
  <si>
    <t>(c) Figures for volunteer services in fiscal 2019 include volunteer Court Appointed Special Advocates (CASA), which were not recorded in prior years.</t>
  </si>
  <si>
    <t>REV</t>
  </si>
  <si>
    <t>7020</t>
  </si>
  <si>
    <t>State Use</t>
  </si>
  <si>
    <t>Average number of jobs for inmates</t>
  </si>
  <si>
    <t>Inmates assigned during year</t>
  </si>
  <si>
    <t>Number of</t>
  </si>
  <si>
    <t>Shops and offices</t>
  </si>
  <si>
    <t>Product items</t>
  </si>
  <si>
    <t>Sales</t>
  </si>
  <si>
    <t>7030</t>
  </si>
  <si>
    <t>Farm Operations</t>
  </si>
  <si>
    <t>Inmates assigned</t>
  </si>
  <si>
    <t>Value of farm products</t>
  </si>
  <si>
    <t xml:space="preserve">Whole milk (quarts) </t>
  </si>
  <si>
    <t xml:space="preserve">Low fat milk (1/2 pints) </t>
  </si>
  <si>
    <t>Beef (pounds)</t>
  </si>
  <si>
    <t>Pork (pounds)</t>
  </si>
  <si>
    <t>Turkey processing (pounds)</t>
  </si>
  <si>
    <t>Vegetable processing (pounds)</t>
  </si>
  <si>
    <t xml:space="preserve">Fruit drink (1/2 pints) </t>
  </si>
  <si>
    <t xml:space="preserve">Ice tea (1/2 pints) </t>
  </si>
  <si>
    <t>Chicken (pounds)</t>
  </si>
  <si>
    <t>4280</t>
  </si>
  <si>
    <t>Division of Public Health and Environmental Laboratories</t>
  </si>
  <si>
    <t>2020</t>
  </si>
  <si>
    <t>Office of Public Communication</t>
  </si>
  <si>
    <t>2052</t>
  </si>
  <si>
    <t>Automotive Services</t>
  </si>
  <si>
    <t>Vehicles</t>
  </si>
  <si>
    <t>Central Motor Pool maintained (a)</t>
  </si>
  <si>
    <t>Passenger vehicles</t>
  </si>
  <si>
    <t>Other (b)</t>
  </si>
  <si>
    <t>Agency assignment (c)</t>
  </si>
  <si>
    <t>Mechanic personnel</t>
  </si>
  <si>
    <t xml:space="preserve"> (a) Vehicles titled to the Central Motor Pool and under the jurisdiction of the Central Motor Pool as a result of the consolidation of statewide facilities.  </t>
  </si>
  <si>
    <t xml:space="preserve"> (b) Includes tractor trailers, trailers, heavy-duty trucks, front-end loaders, buses, box trucks, carts, chippers, generators and mowers.</t>
  </si>
  <si>
    <t xml:space="preserve"> (c) Vehicles titled to the Central Motor Pool; however, the supporting funds are budgeted in the agency budgets, not in the Central Motor Pool requested authorization.</t>
  </si>
  <si>
    <t>2056</t>
  </si>
  <si>
    <t>Print Shop</t>
  </si>
  <si>
    <t>2057</t>
  </si>
  <si>
    <t>Value of inventory, June 30</t>
  </si>
  <si>
    <t>Percentage of demand ($) delivered</t>
  </si>
  <si>
    <t>2065</t>
  </si>
  <si>
    <t>Division of Property Management and Construction</t>
  </si>
  <si>
    <t>01-71-0001</t>
  </si>
  <si>
    <t>01-71-0002</t>
  </si>
  <si>
    <t>01-71-0003</t>
  </si>
  <si>
    <t>01-77</t>
  </si>
  <si>
    <t>06-76</t>
  </si>
  <si>
    <t>26-19</t>
  </si>
  <si>
    <t>46-25</t>
  </si>
  <si>
    <t>54-76-7500</t>
  </si>
  <si>
    <t>62-51</t>
  </si>
  <si>
    <t>66-19</t>
  </si>
  <si>
    <t>78-64</t>
  </si>
  <si>
    <t>82-72-2066</t>
  </si>
  <si>
    <t>82-76</t>
  </si>
  <si>
    <t>90-72-9148</t>
  </si>
  <si>
    <t>46-21-4280</t>
  </si>
  <si>
    <t>82-74-2020</t>
  </si>
  <si>
    <t>82-74-2056</t>
  </si>
  <si>
    <t>82-74-2065</t>
  </si>
  <si>
    <t>Security Aid - pupils enrolled</t>
  </si>
  <si>
    <t>Land Use Regulation and Management</t>
  </si>
  <si>
    <t>Mental Health Community Regulation and Oversight (a)</t>
  </si>
  <si>
    <t>Community programs licensed</t>
  </si>
  <si>
    <t xml:space="preserve">   Number of licened beds</t>
  </si>
  <si>
    <t xml:space="preserve">   Admission sanctions imposed</t>
  </si>
  <si>
    <t>Substance Use Disorders Community Regulation and Oversight (a)</t>
  </si>
  <si>
    <t>Community outpatient programs licensed</t>
  </si>
  <si>
    <t xml:space="preserve">   Community residential programs licensed</t>
  </si>
  <si>
    <t xml:space="preserve">   Hospital based detoxification service licensed</t>
  </si>
  <si>
    <t xml:space="preserve">   Non-hospital based detoxification licensed</t>
  </si>
  <si>
    <t xml:space="preserve">   Co-occurring services licensed</t>
  </si>
  <si>
    <t xml:space="preserve">   License downgraded to conditional or conditional license isssued</t>
  </si>
  <si>
    <t>Hospital Mental Health Offset Payments (b)</t>
  </si>
  <si>
    <t>(a) Prior year data is not available, due to a differing data collection process.</t>
  </si>
  <si>
    <t>(b) Hospital Mental Health Offset Payments are expended in the Department of Human Services.</t>
  </si>
  <si>
    <t>(e)</t>
  </si>
  <si>
    <t>(e) In fiscal year 2017, William Paterson University incorporated the University Commons, Information Technology and Transportation Fees into the cost of tuition.</t>
  </si>
  <si>
    <t>(f) In fiscal 2018, William Paterson University incorporated the Student Services and Campus Facility Fees into the cost of tuition.</t>
  </si>
  <si>
    <t>(g) In fiscal 2017, William Paterson University recognized Sabbatical and Assigned Research Time as research instead of instructional expense and restated FY16 financial statements.</t>
  </si>
  <si>
    <t>(f) In fiscal 2018, Montclair incorporated Academic and Instruction-Related Programming, Computing and Technology Infrastructure, Facility Operations and General Administration Fees into the cost of tuition.</t>
  </si>
  <si>
    <t>616</t>
  </si>
  <si>
    <t>Winter program</t>
  </si>
  <si>
    <t>Fund</t>
  </si>
  <si>
    <t>Agriculture</t>
  </si>
  <si>
    <t>Community Affairs</t>
  </si>
  <si>
    <t>Corrections</t>
  </si>
  <si>
    <t>Education</t>
  </si>
  <si>
    <t>Environmental Protection</t>
  </si>
  <si>
    <t>Human Services</t>
  </si>
  <si>
    <t>Treasury</t>
  </si>
  <si>
    <t>Children and Families</t>
  </si>
  <si>
    <t>Banking and Insurance</t>
  </si>
  <si>
    <t>Labor and Workforce Development</t>
  </si>
  <si>
    <t>Law and Public Safety</t>
  </si>
  <si>
    <t>Military and Veterans' Affairs</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</si>
</sst>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mmmm\ d\,\ yyyy"/>
    <numFmt numFmtId="166" formatCode="00"/>
    <numFmt numFmtId="167" formatCode="0000"/>
    <numFmt numFmtId="168" formatCode="_(* #,##0_);_(* \(#,##0\);_(* &quot;-&quot;??_);_(@_)"/>
    <numFmt numFmtId="169" formatCode="&quot;$&quot;#,##0"/>
    <numFmt numFmtId="170" formatCode="0.0%"/>
    <numFmt numFmtId="171" formatCode="#,##0.0"/>
    <numFmt numFmtId="172" formatCode="0.0"/>
    <numFmt numFmtId="173" formatCode="&quot;$&quot;#,##0.00"/>
    <numFmt numFmtId="174" formatCode="#,##0;[Red]#,##0"/>
    <numFmt numFmtId="175" formatCode="#,##0.00000"/>
    <numFmt numFmtId="176" formatCode="&quot;$&quot;#,##0.0"/>
    <numFmt numFmtId="177" formatCode="_(* #,##0.0_);_(* \(#,##0.0\);_(* &quot;-&quot;??_);_(@_)"/>
    <numFmt numFmtId="178" formatCode="_(&quot;$&quot;* #,##0_);_(&quot;$&quot;* \(#,##0\);_(&quot;$&quot;* &quot;-&quot;??_);_(@_)"/>
    <numFmt numFmtId="179" formatCode="_(&quot;$&quot;* #,##0.0_);_(&quot;$&quot;* \(#,##0.0\);_(&quot;$&quot;* &quot;-&quot;??_);_(@_)"/>
    <numFmt numFmtId="180" formatCode="#,##0.00000000000000000"/>
    <numFmt numFmtId="181" formatCode="#,##0.000000000"/>
    <numFmt numFmtId="182" formatCode="#,##0.0000"/>
    <numFmt numFmtId="183" formatCode="#,##0.000000000000000"/>
    <numFmt numFmtId="184" formatCode="#,##0.00000000000"/>
    <numFmt numFmtId="185" formatCode="#,##0.00000000"/>
    <numFmt numFmtId="186" formatCode="&quot;$&quot;#,##0.000000000"/>
    <numFmt numFmtId="187" formatCode="&quot;$&quot;#,##0.00;[Red]&quot;$&quot;#,##0.00"/>
    <numFmt numFmtId="188" formatCode="#,##0.00000000000000"/>
    <numFmt numFmtId="189" formatCode="#,##0.000"/>
    <numFmt numFmtId="190" formatCode="#,##0.000000"/>
    <numFmt numFmtId="191" formatCode="&quot;$&quot;#,##0;[Red]&quot;$&quot;#,##0"/>
    <numFmt numFmtId="192" formatCode="#,##0%"/>
    <numFmt numFmtId="193" formatCode="#,##0.0%"/>
    <numFmt numFmtId="194" formatCode="0;[Red]0"/>
    <numFmt numFmtId="195" formatCode="_([$$-409]* #,##0_);_([$$-409]* \(#,##0\);_([$$-409]* &quot;-&quot;??_);_(@_)"/>
    <numFmt numFmtId="196" formatCode="&quot;$&quot;#,##0.000"/>
    <numFmt numFmtId="197" formatCode="&quot;$&quot;#,##0.0_);\(&quot;$&quot;#,##0.0\)"/>
    <numFmt numFmtId="198" formatCode="#,##0.0_);\(#,##0.0\)"/>
    <numFmt numFmtId="199" formatCode="&quot;$&quot;#,##0;\(&quot;$&quot;#,##0\)"/>
  </numFmts>
  <fonts count="75" x14ac:knownFonts="1">
    <font>
      <sz val="11"/>
      <color theme="1"/>
      <name val="Calibri"/>
      <family val="2"/>
      <scheme val="minor"/>
    </font>
    <font>
      <sz val="10"/>
      <name val="Arial"/>
      <family val="2"/>
    </font>
    <font>
      <sz val="10"/>
      <name val="Arial"/>
      <family val="2"/>
    </font>
    <font>
      <sz val="11"/>
      <color theme="1"/>
      <name val="Calibri"/>
      <family val="2"/>
      <scheme val="minor"/>
    </font>
    <font>
      <sz val="11"/>
      <color theme="0"/>
      <name val="Calibri"/>
      <family val="2"/>
      <scheme val="minor"/>
    </font>
    <font>
      <sz val="11"/>
      <color indexed="8"/>
      <name val="Calibri"/>
      <family val="2"/>
    </font>
    <font>
      <b/>
      <i/>
      <sz val="10"/>
      <name val="Arial"/>
      <family val="2"/>
    </font>
    <font>
      <sz val="10"/>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u/>
      <sz val="10"/>
      <color theme="10"/>
      <name val="Arial"/>
      <family val="2"/>
    </font>
    <font>
      <sz val="12"/>
      <name val="Helv"/>
    </font>
    <font>
      <u/>
      <sz val="11"/>
      <color theme="10"/>
      <name val="Calibri"/>
      <family val="2"/>
    </font>
    <font>
      <sz val="13"/>
      <name val="Helv"/>
    </font>
    <font>
      <sz val="10"/>
      <color theme="1"/>
      <name val="Tahoma"/>
      <family val="2"/>
    </font>
    <font>
      <sz val="1"/>
      <color indexed="8"/>
      <name val="Courier"/>
      <family val="3"/>
    </font>
    <font>
      <sz val="10"/>
      <name val="Helv"/>
    </font>
    <font>
      <sz val="10"/>
      <color indexed="9"/>
      <name val="Arial"/>
      <family val="2"/>
    </font>
    <font>
      <sz val="10"/>
      <color theme="1"/>
      <name val="Calibri"/>
      <family val="2"/>
    </font>
    <font>
      <sz val="11"/>
      <name val="Arial"/>
      <family val="2"/>
    </font>
    <font>
      <sz val="10"/>
      <name val="Calibri"/>
      <family val="2"/>
    </font>
    <font>
      <sz val="9"/>
      <name val="Comic Sans MS"/>
      <family val="4"/>
    </font>
    <font>
      <sz val="10"/>
      <name val="MS Sans Serif"/>
      <family val="2"/>
    </font>
    <font>
      <sz val="10"/>
      <name val="Times New Roman"/>
      <family val="1"/>
    </font>
    <font>
      <u/>
      <sz val="11"/>
      <color theme="10"/>
      <name val="Calibri"/>
      <family val="2"/>
      <scheme val="minor"/>
    </font>
    <font>
      <sz val="10"/>
      <name val="Arial"/>
      <family val="2"/>
    </font>
    <font>
      <sz val="10"/>
      <name val="Arial"/>
      <family val="2"/>
    </font>
    <font>
      <u/>
      <sz val="10"/>
      <color indexed="12"/>
      <name val="Arial"/>
      <family val="2"/>
    </font>
    <font>
      <sz val="12"/>
      <name val="Arial"/>
      <family val="2"/>
    </font>
    <font>
      <b/>
      <sz val="12"/>
      <color indexed="48"/>
      <name val="Arial"/>
      <family val="2"/>
    </font>
    <font>
      <b/>
      <sz val="10"/>
      <color indexed="57"/>
      <name val="Arial"/>
      <family val="2"/>
    </font>
    <font>
      <b/>
      <sz val="12"/>
      <color indexed="57"/>
      <name val="Arial"/>
      <family val="2"/>
    </font>
    <font>
      <b/>
      <sz val="10"/>
      <name val="Arial"/>
      <family val="2"/>
    </font>
    <font>
      <sz val="10"/>
      <color rgb="FFFF0000"/>
      <name val="Arial"/>
      <family val="2"/>
    </font>
    <font>
      <b/>
      <sz val="10"/>
      <color rgb="FFFF0000"/>
      <name val="Arial"/>
      <family val="2"/>
    </font>
    <font>
      <vertAlign val="superscript"/>
      <sz val="10"/>
      <name val="Arial"/>
      <family val="2"/>
    </font>
    <font>
      <sz val="12"/>
      <name val="Times New Roman"/>
      <family val="1"/>
    </font>
    <font>
      <sz val="10"/>
      <color indexed="57"/>
      <name val="Arial"/>
      <family val="2"/>
    </font>
    <font>
      <b/>
      <vertAlign val="superscript"/>
      <sz val="10"/>
      <name val="Arial"/>
      <family val="2"/>
    </font>
    <font>
      <b/>
      <sz val="9"/>
      <color indexed="81"/>
      <name val="Tahoma"/>
      <family val="2"/>
    </font>
    <font>
      <sz val="9"/>
      <color indexed="81"/>
      <name val="Tahoma"/>
      <family val="2"/>
    </font>
    <font>
      <b/>
      <sz val="8"/>
      <name val="Arial"/>
      <family val="2"/>
    </font>
    <font>
      <sz val="8"/>
      <color rgb="FFFF0000"/>
      <name val="Arial"/>
      <family val="2"/>
    </font>
    <font>
      <sz val="9.3000000000000007"/>
      <name val="Arial"/>
      <family val="2"/>
    </font>
    <font>
      <sz val="11"/>
      <color rgb="FF000000"/>
      <name val="Calibri"/>
      <family val="2"/>
    </font>
    <font>
      <sz val="11"/>
      <name val="Calibri"/>
      <family val="2"/>
    </font>
    <font>
      <sz val="10"/>
      <color theme="1"/>
      <name val="Arial"/>
      <family val="2"/>
    </font>
    <font>
      <sz val="10"/>
      <name val="Calibri"/>
      <family val="2"/>
      <scheme val="minor"/>
    </font>
    <font>
      <vertAlign val="superscript"/>
      <sz val="10"/>
      <color indexed="8"/>
      <name val="Arial"/>
      <family val="2"/>
    </font>
    <font>
      <b/>
      <sz val="10"/>
      <color indexed="8"/>
      <name val="Arial"/>
      <family val="2"/>
    </font>
    <font>
      <i/>
      <sz val="10"/>
      <name val="Arial"/>
      <family val="2"/>
    </font>
    <font>
      <sz val="10"/>
      <color theme="1"/>
      <name val="Calibri"/>
      <family val="2"/>
      <scheme val="minor"/>
    </font>
    <font>
      <sz val="11"/>
      <color indexed="56"/>
      <name val="Calibri"/>
      <family val="2"/>
    </font>
    <font>
      <b/>
      <sz val="10"/>
      <color rgb="FF0000CC"/>
      <name val="Arial"/>
      <family val="2"/>
    </font>
    <font>
      <sz val="9"/>
      <name val="Arial"/>
      <family val="2"/>
    </font>
    <font>
      <i/>
      <sz val="8"/>
      <name val="Arial Narrow"/>
      <family val="2"/>
    </font>
    <font>
      <sz val="10"/>
      <color theme="3"/>
      <name val="Arial"/>
      <family val="2"/>
    </font>
    <font>
      <b/>
      <sz val="12"/>
      <color indexed="8"/>
      <name val="Arial"/>
      <family val="2"/>
    </font>
    <font>
      <b/>
      <sz val="12"/>
      <name val="Arial"/>
      <family val="2"/>
    </font>
    <font>
      <sz val="10"/>
      <name val="Garamond"/>
      <family val="1"/>
    </font>
  </fonts>
  <fills count="3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46"/>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6795556505021"/>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73">
    <xf numFmtId="0" fontId="0" fillId="0" borderId="0"/>
    <xf numFmtId="43" fontId="1" fillId="0" borderId="0" applyFont="0" applyFill="0" applyBorder="0" applyAlignment="0" applyProtection="0"/>
    <xf numFmtId="0" fontId="1" fillId="0" borderId="0"/>
    <xf numFmtId="43" fontId="2" fillId="0" borderId="0" applyFont="0" applyFill="0" applyBorder="0" applyAlignment="0" applyProtection="0"/>
    <xf numFmtId="0" fontId="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3"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3" fillId="2" borderId="1" applyNumberFormat="0" applyFont="0" applyAlignment="0" applyProtection="0"/>
    <xf numFmtId="0" fontId="1" fillId="0" borderId="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9" fillId="24" borderId="0" applyNumberFormat="0" applyBorder="0" applyAlignment="0" applyProtection="0"/>
    <xf numFmtId="0" fontId="10" fillId="25" borderId="2" applyNumberFormat="0" applyAlignment="0" applyProtection="0"/>
    <xf numFmtId="0" fontId="11" fillId="26" borderId="3" applyNumberFormat="0" applyAlignment="0" applyProtection="0"/>
    <xf numFmtId="0" fontId="12" fillId="0" borderId="0" applyNumberFormat="0" applyFill="0" applyBorder="0" applyAlignment="0" applyProtection="0"/>
    <xf numFmtId="0" fontId="13" fillId="27"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12" borderId="2" applyNumberFormat="0" applyAlignment="0" applyProtection="0"/>
    <xf numFmtId="0" fontId="18" fillId="0" borderId="7" applyNumberFormat="0" applyFill="0" applyAlignment="0" applyProtection="0"/>
    <xf numFmtId="0" fontId="19" fillId="28" borderId="0" applyNumberFormat="0" applyBorder="0" applyAlignment="0" applyProtection="0"/>
    <xf numFmtId="0" fontId="20" fillId="25"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3" fillId="0" borderId="0"/>
    <xf numFmtId="9" fontId="5"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5" fillId="0" borderId="0" applyNumberFormat="0" applyFill="0" applyBorder="0" applyAlignment="0" applyProtection="0"/>
    <xf numFmtId="0" fontId="1" fillId="0" borderId="0"/>
    <xf numFmtId="0" fontId="3" fillId="0" borderId="0"/>
    <xf numFmtId="0" fontId="3" fillId="0" borderId="0"/>
    <xf numFmtId="0" fontId="3" fillId="0" borderId="0"/>
    <xf numFmtId="0" fontId="3" fillId="0" borderId="0"/>
    <xf numFmtId="0" fontId="1" fillId="0" borderId="0"/>
    <xf numFmtId="0" fontId="26" fillId="0" borderId="0"/>
    <xf numFmtId="0" fontId="26" fillId="0" borderId="0"/>
    <xf numFmtId="43"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7" fillId="0" borderId="0" applyNumberFormat="0" applyFill="0" applyBorder="0" applyAlignment="0" applyProtection="0">
      <alignment vertical="top"/>
      <protection locked="0"/>
    </xf>
    <xf numFmtId="0" fontId="1" fillId="0" borderId="0"/>
    <xf numFmtId="164" fontId="28"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9" fontId="5" fillId="0" borderId="0" applyFont="0" applyFill="0" applyBorder="0" applyAlignment="0" applyProtection="0"/>
    <xf numFmtId="0" fontId="1" fillId="0" borderId="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1" fillId="0" borderId="0" applyFill="0" applyBorder="0" applyAlignment="0" applyProtection="0"/>
    <xf numFmtId="165" fontId="1" fillId="0" borderId="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1" fillId="0" borderId="0" applyFill="0" applyBorder="0" applyAlignment="0" applyProtection="0"/>
    <xf numFmtId="0" fontId="1" fillId="0" borderId="0"/>
    <xf numFmtId="0" fontId="1" fillId="0" borderId="0"/>
    <xf numFmtId="0" fontId="1" fillId="0" borderId="0"/>
    <xf numFmtId="0" fontId="5" fillId="0" borderId="0"/>
    <xf numFmtId="0" fontId="3" fillId="0" borderId="0"/>
    <xf numFmtId="0" fontId="1" fillId="0" borderId="0"/>
    <xf numFmtId="9" fontId="5"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0" fontId="31" fillId="0" borderId="10"/>
    <xf numFmtId="43" fontId="5"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32" fillId="0" borderId="0" applyFont="0" applyFill="0" applyBorder="0" applyAlignment="0" applyProtection="0">
      <alignment vertical="top"/>
    </xf>
    <xf numFmtId="0" fontId="33"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2" fillId="0" borderId="0" applyFont="0" applyFill="0" applyBorder="0" applyAlignment="0" applyProtection="0">
      <alignment vertical="top"/>
    </xf>
    <xf numFmtId="41" fontId="1" fillId="0" borderId="0" applyFont="0" applyFill="0" applyBorder="0" applyAlignment="0" applyProtection="0"/>
    <xf numFmtId="43" fontId="34"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2" fillId="0" borderId="0" applyFont="0" applyFill="0" applyBorder="0" applyAlignment="0" applyProtection="0">
      <alignment vertical="top"/>
    </xf>
    <xf numFmtId="44" fontId="36" fillId="0" borderId="0" applyFont="0" applyFill="0" applyBorder="0" applyAlignment="0" applyProtection="0"/>
    <xf numFmtId="44" fontId="36"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0" fontId="5" fillId="0" borderId="0"/>
    <xf numFmtId="0" fontId="34" fillId="0" borderId="0"/>
    <xf numFmtId="0" fontId="3" fillId="0" borderId="0"/>
    <xf numFmtId="0" fontId="3" fillId="0" borderId="0"/>
    <xf numFmtId="0" fontId="37" fillId="0" borderId="0"/>
    <xf numFmtId="0" fontId="3" fillId="0" borderId="0"/>
    <xf numFmtId="0" fontId="3" fillId="0" borderId="0"/>
    <xf numFmtId="0" fontId="35" fillId="0" borderId="0"/>
    <xf numFmtId="0" fontId="3" fillId="0" borderId="0"/>
    <xf numFmtId="0" fontId="32" fillId="0" borderId="0">
      <alignment vertical="top"/>
    </xf>
    <xf numFmtId="0" fontId="35" fillId="0" borderId="0"/>
    <xf numFmtId="0" fontId="1" fillId="0" borderId="0"/>
    <xf numFmtId="0" fontId="35" fillId="0" borderId="0"/>
    <xf numFmtId="0" fontId="1" fillId="0" borderId="0"/>
    <xf numFmtId="0" fontId="32" fillId="0" borderId="0">
      <alignment vertical="top"/>
    </xf>
    <xf numFmtId="0" fontId="3" fillId="0" borderId="0"/>
    <xf numFmtId="0" fontId="3" fillId="0" borderId="0"/>
    <xf numFmtId="0" fontId="1" fillId="0" borderId="0"/>
    <xf numFmtId="0" fontId="34" fillId="0" borderId="0"/>
    <xf numFmtId="0" fontId="1" fillId="29" borderId="11" applyNumberFormat="0" applyFont="0" applyAlignment="0" applyProtection="0"/>
    <xf numFmtId="0" fontId="1" fillId="29" borderId="11" applyNumberFormat="0" applyFont="0" applyAlignment="0" applyProtection="0"/>
    <xf numFmtId="9" fontId="36"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alignment vertical="top"/>
    </xf>
    <xf numFmtId="9" fontId="6"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38" fillId="0" borderId="0" applyFont="0" applyFill="0" applyBorder="0" applyAlignment="0" applyProtection="0"/>
    <xf numFmtId="43" fontId="6" fillId="0" borderId="0" applyFont="0" applyFill="0" applyBorder="0" applyAlignment="0" applyProtection="0"/>
    <xf numFmtId="0" fontId="1" fillId="0" borderId="0"/>
    <xf numFmtId="0" fontId="3" fillId="0" borderId="0"/>
    <xf numFmtId="7" fontId="24" fillId="0" borderId="0" applyFill="0" applyBorder="0" applyProtection="0">
      <alignment horizontal="center"/>
    </xf>
    <xf numFmtId="37" fontId="34"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9" fillId="0" borderId="0" applyNumberFormat="0" applyFill="0" applyBorder="0" applyAlignment="0" applyProtection="0"/>
    <xf numFmtId="43" fontId="32" fillId="0" borderId="0" applyFont="0" applyFill="0" applyBorder="0" applyAlignment="0" applyProtection="0">
      <alignment vertical="top"/>
    </xf>
    <xf numFmtId="0" fontId="3" fillId="0" borderId="0"/>
    <xf numFmtId="43" fontId="40" fillId="0" borderId="0" applyFont="0" applyFill="0" applyBorder="0" applyAlignment="0" applyProtection="0"/>
    <xf numFmtId="0" fontId="40" fillId="0" borderId="0"/>
    <xf numFmtId="44"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40" fillId="0" borderId="0" applyFont="0" applyFill="0" applyBorder="0" applyAlignment="0" applyProtection="0"/>
    <xf numFmtId="43" fontId="1" fillId="0" borderId="0" applyFont="0" applyFill="0" applyBorder="0" applyAlignment="0" applyProtection="0"/>
    <xf numFmtId="0" fontId="39" fillId="0" borderId="0" applyNumberFormat="0" applyFill="0" applyBorder="0" applyAlignment="0" applyProtection="0"/>
    <xf numFmtId="0" fontId="41" fillId="0" borderId="0"/>
    <xf numFmtId="0" fontId="42" fillId="0" borderId="0" applyNumberFormat="0" applyFill="0" applyBorder="0" applyAlignment="0" applyProtection="0">
      <alignment vertical="top"/>
      <protection locked="0"/>
    </xf>
    <xf numFmtId="43" fontId="41" fillId="0" borderId="0" applyFont="0" applyFill="0" applyBorder="0" applyAlignment="0" applyProtection="0"/>
    <xf numFmtId="9" fontId="41" fillId="0" borderId="0" applyFont="0" applyFill="0" applyBorder="0" applyAlignment="0" applyProtection="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1" fillId="0" borderId="0"/>
    <xf numFmtId="4" fontId="41" fillId="0" borderId="0"/>
    <xf numFmtId="43" fontId="3" fillId="0" borderId="0" applyFont="0" applyFill="0" applyBorder="0" applyAlignment="0" applyProtection="0"/>
  </cellStyleXfs>
  <cellXfs count="1843">
    <xf numFmtId="0" fontId="0" fillId="0" borderId="0" xfId="0"/>
    <xf numFmtId="49" fontId="43" fillId="0" borderId="0" xfId="353" applyNumberFormat="1" applyFont="1" applyBorder="1" applyAlignment="1">
      <alignment horizontal="right" vertical="top"/>
    </xf>
    <xf numFmtId="1" fontId="44" fillId="0" borderId="0" xfId="353" applyNumberFormat="1" applyFont="1" applyBorder="1" applyAlignment="1" applyProtection="1">
      <alignment horizontal="left" vertical="top"/>
    </xf>
    <xf numFmtId="4" fontId="45" fillId="0" borderId="0" xfId="353" applyNumberFormat="1" applyFont="1"/>
    <xf numFmtId="4" fontId="45" fillId="0" borderId="0" xfId="353" applyFont="1"/>
    <xf numFmtId="4" fontId="45" fillId="0" borderId="0" xfId="353" applyNumberFormat="1" applyFont="1" applyAlignment="1">
      <alignment horizontal="right"/>
    </xf>
    <xf numFmtId="0" fontId="45" fillId="0" borderId="0" xfId="353" applyNumberFormat="1" applyFont="1" applyAlignment="1">
      <alignment horizontal="center"/>
    </xf>
    <xf numFmtId="0" fontId="44" fillId="0" borderId="0" xfId="353" applyNumberFormat="1" applyFont="1" applyBorder="1" applyAlignment="1" applyProtection="1">
      <alignment horizontal="left" vertical="top"/>
    </xf>
    <xf numFmtId="0" fontId="45" fillId="0" borderId="0" xfId="353" applyNumberFormat="1" applyFont="1" applyAlignment="1">
      <alignment horizontal="right"/>
    </xf>
    <xf numFmtId="0" fontId="46" fillId="0" borderId="0" xfId="353" applyNumberFormat="1" applyFont="1" applyAlignment="1">
      <alignment horizontal="center"/>
    </xf>
    <xf numFmtId="166" fontId="44" fillId="0" borderId="0" xfId="353" applyNumberFormat="1" applyFont="1" applyBorder="1" applyAlignment="1" applyProtection="1">
      <alignment horizontal="left" vertical="top"/>
    </xf>
    <xf numFmtId="166" fontId="45" fillId="0" borderId="0" xfId="353" applyNumberFormat="1" applyFont="1" applyAlignment="1">
      <alignment horizontal="right"/>
    </xf>
    <xf numFmtId="167" fontId="44" fillId="0" borderId="0" xfId="353" applyNumberFormat="1" applyFont="1" applyBorder="1" applyAlignment="1" applyProtection="1">
      <alignment horizontal="left" vertical="top"/>
    </xf>
    <xf numFmtId="0" fontId="46" fillId="0" borderId="0" xfId="353" applyNumberFormat="1" applyFont="1" applyBorder="1" applyAlignment="1">
      <alignment horizontal="center" vertical="top"/>
    </xf>
    <xf numFmtId="167" fontId="45" fillId="0" borderId="0" xfId="353" applyNumberFormat="1" applyFont="1"/>
    <xf numFmtId="0" fontId="43" fillId="0" borderId="0" xfId="353" applyNumberFormat="1" applyFont="1" applyBorder="1" applyAlignment="1">
      <alignment horizontal="right" vertical="top"/>
    </xf>
    <xf numFmtId="0" fontId="46" fillId="0" borderId="0" xfId="353" applyNumberFormat="1" applyFont="1" applyFill="1" applyBorder="1" applyAlignment="1" applyProtection="1">
      <alignment horizontal="center" vertical="top"/>
      <protection locked="0"/>
    </xf>
    <xf numFmtId="0" fontId="45" fillId="0" borderId="0" xfId="353" applyNumberFormat="1" applyFont="1" applyAlignment="1" applyProtection="1">
      <alignment horizontal="right"/>
      <protection locked="0"/>
    </xf>
    <xf numFmtId="0" fontId="46" fillId="0" borderId="0" xfId="353" applyNumberFormat="1" applyFont="1" applyBorder="1" applyAlignment="1" applyProtection="1">
      <alignment horizontal="center" vertical="top"/>
    </xf>
    <xf numFmtId="0" fontId="46" fillId="0" borderId="0" xfId="353" applyNumberFormat="1" applyFont="1" applyAlignment="1">
      <alignment horizontal="right"/>
    </xf>
    <xf numFmtId="4" fontId="45" fillId="0" borderId="0" xfId="353" applyFont="1" applyAlignment="1">
      <alignment horizontal="left"/>
    </xf>
    <xf numFmtId="4" fontId="45" fillId="0" borderId="0" xfId="353" applyFont="1" applyAlignment="1">
      <alignment horizontal="left" wrapText="1"/>
    </xf>
    <xf numFmtId="4" fontId="45" fillId="0" borderId="12" xfId="353" applyNumberFormat="1" applyFont="1" applyBorder="1" applyAlignment="1">
      <alignment horizontal="center"/>
    </xf>
    <xf numFmtId="0" fontId="45" fillId="0" borderId="13" xfId="353" applyNumberFormat="1" applyFont="1" applyBorder="1" applyAlignment="1">
      <alignment horizontal="center"/>
    </xf>
    <xf numFmtId="4" fontId="45" fillId="0" borderId="0" xfId="353" applyFont="1" applyAlignment="1">
      <alignment horizontal="center"/>
    </xf>
    <xf numFmtId="4" fontId="1" fillId="0" borderId="0" xfId="353" applyAlignment="1">
      <alignment horizontal="left"/>
    </xf>
    <xf numFmtId="4" fontId="1" fillId="0" borderId="0" xfId="353" applyAlignment="1">
      <alignment horizontal="left" wrapText="1"/>
    </xf>
    <xf numFmtId="4" fontId="45" fillId="0" borderId="14" xfId="353" applyNumberFormat="1" applyFont="1" applyBorder="1" applyAlignment="1">
      <alignment horizontal="center"/>
    </xf>
    <xf numFmtId="0" fontId="45" fillId="0" borderId="15" xfId="353" applyNumberFormat="1" applyFont="1" applyBorder="1" applyAlignment="1">
      <alignment horizontal="center"/>
    </xf>
    <xf numFmtId="4" fontId="1" fillId="0" borderId="0" xfId="353"/>
    <xf numFmtId="49" fontId="45" fillId="0" borderId="0" xfId="353" applyNumberFormat="1" applyFont="1" applyAlignment="1">
      <alignment horizontal="left"/>
    </xf>
    <xf numFmtId="49" fontId="45" fillId="0" borderId="0" xfId="353" applyNumberFormat="1" applyFont="1" applyAlignment="1">
      <alignment horizontal="left" wrapText="1"/>
    </xf>
    <xf numFmtId="49" fontId="45" fillId="0" borderId="16" xfId="353" applyNumberFormat="1" applyFont="1" applyBorder="1" applyAlignment="1">
      <alignment horizontal="center"/>
    </xf>
    <xf numFmtId="0" fontId="45" fillId="0" borderId="17" xfId="353" applyNumberFormat="1" applyFont="1" applyBorder="1" applyAlignment="1">
      <alignment horizontal="center" textRotation="255"/>
    </xf>
    <xf numFmtId="0" fontId="45" fillId="0" borderId="16" xfId="353" applyNumberFormat="1" applyFont="1" applyBorder="1" applyAlignment="1">
      <alignment horizontal="center"/>
    </xf>
    <xf numFmtId="49" fontId="47" fillId="0" borderId="0" xfId="353" applyNumberFormat="1" applyFont="1" applyAlignment="1" applyProtection="1">
      <alignment horizontal="left"/>
      <protection locked="0"/>
    </xf>
    <xf numFmtId="49" fontId="47" fillId="0" borderId="0" xfId="353" applyNumberFormat="1" applyFont="1" applyAlignment="1" applyProtection="1">
      <alignment horizontal="left" wrapText="1"/>
      <protection locked="0"/>
    </xf>
    <xf numFmtId="4" fontId="47" fillId="0" borderId="0" xfId="353" applyFont="1" applyAlignment="1" applyProtection="1">
      <alignment horizontal="center"/>
      <protection locked="0"/>
    </xf>
    <xf numFmtId="49" fontId="1" fillId="0" borderId="0" xfId="353" applyNumberFormat="1" applyFont="1" applyAlignment="1" applyProtection="1">
      <alignment horizontal="left"/>
      <protection locked="0"/>
    </xf>
    <xf numFmtId="49" fontId="1" fillId="0" borderId="0" xfId="353" applyNumberFormat="1" applyFont="1" applyAlignment="1" applyProtection="1">
      <alignment horizontal="left" wrapText="1"/>
      <protection locked="0"/>
    </xf>
    <xf numFmtId="4" fontId="1" fillId="0" borderId="0" xfId="353" applyFont="1" applyAlignment="1" applyProtection="1">
      <alignment horizontal="center"/>
      <protection locked="0"/>
    </xf>
    <xf numFmtId="49" fontId="1" fillId="0" borderId="0" xfId="353" applyNumberFormat="1" applyFont="1" applyAlignment="1" applyProtection="1">
      <alignment horizontal="left" indent="1"/>
      <protection locked="0"/>
    </xf>
    <xf numFmtId="168" fontId="1" fillId="0" borderId="0" xfId="353" applyNumberFormat="1" applyFont="1" applyAlignment="1" applyProtection="1">
      <alignment horizontal="center"/>
      <protection locked="0"/>
    </xf>
    <xf numFmtId="168" fontId="1" fillId="0" borderId="0" xfId="92" applyNumberFormat="1" applyFont="1" applyAlignment="1" applyProtection="1">
      <alignment horizontal="right"/>
      <protection locked="0"/>
    </xf>
    <xf numFmtId="168" fontId="1" fillId="0" borderId="0" xfId="92" applyNumberFormat="1" applyFont="1" applyAlignment="1" applyProtection="1">
      <alignment horizontal="center"/>
      <protection locked="0"/>
    </xf>
    <xf numFmtId="168" fontId="1" fillId="0" borderId="0" xfId="92" applyNumberFormat="1" applyFont="1" applyAlignment="1" applyProtection="1">
      <protection locked="0"/>
    </xf>
    <xf numFmtId="49" fontId="47" fillId="0" borderId="0" xfId="353" applyNumberFormat="1" applyFont="1" applyBorder="1" applyAlignment="1" applyProtection="1">
      <alignment horizontal="left"/>
      <protection locked="0"/>
    </xf>
    <xf numFmtId="49" fontId="47" fillId="0" borderId="0" xfId="353" applyNumberFormat="1" applyFont="1" applyBorder="1" applyAlignment="1" applyProtection="1">
      <alignment horizontal="left" wrapText="1"/>
      <protection locked="0"/>
    </xf>
    <xf numFmtId="4" fontId="1" fillId="0" borderId="0" xfId="353" applyProtection="1">
      <protection locked="0"/>
    </xf>
    <xf numFmtId="4" fontId="47" fillId="0" borderId="0" xfId="353" applyFont="1" applyAlignment="1" applyProtection="1">
      <alignment horizontal="left"/>
      <protection locked="0"/>
    </xf>
    <xf numFmtId="4" fontId="47" fillId="0" borderId="0" xfId="353" applyFont="1" applyAlignment="1" applyProtection="1">
      <alignment horizontal="left" wrapText="1"/>
      <protection locked="0"/>
    </xf>
    <xf numFmtId="4" fontId="1" fillId="0" borderId="0" xfId="353" applyNumberFormat="1" applyAlignment="1" applyProtection="1">
      <alignment horizontal="right"/>
      <protection locked="0"/>
    </xf>
    <xf numFmtId="0" fontId="1" fillId="0" borderId="0" xfId="353" applyNumberFormat="1" applyAlignment="1" applyProtection="1">
      <alignment horizontal="center"/>
      <protection locked="0"/>
    </xf>
    <xf numFmtId="4" fontId="1" fillId="0" borderId="0" xfId="353" applyNumberFormat="1" applyAlignment="1" applyProtection="1">
      <protection locked="0"/>
    </xf>
    <xf numFmtId="0" fontId="41" fillId="0" borderId="0" xfId="349" applyAlignment="1"/>
    <xf numFmtId="4" fontId="1" fillId="0" borderId="0" xfId="353" applyAlignment="1">
      <alignment horizontal="left" vertical="top"/>
    </xf>
    <xf numFmtId="4" fontId="41" fillId="0" borderId="0" xfId="349" applyNumberFormat="1" applyAlignment="1"/>
    <xf numFmtId="4" fontId="1" fillId="0" borderId="0" xfId="353" applyAlignment="1">
      <alignment horizontal="left" vertical="top" wrapText="1"/>
    </xf>
    <xf numFmtId="0" fontId="1" fillId="0" borderId="0" xfId="353" applyNumberFormat="1" applyAlignment="1">
      <alignment horizontal="left"/>
    </xf>
    <xf numFmtId="0" fontId="1" fillId="0" borderId="0" xfId="353" applyNumberFormat="1" applyAlignment="1">
      <alignment horizontal="right"/>
    </xf>
    <xf numFmtId="0" fontId="1" fillId="0" borderId="0" xfId="353" applyNumberFormat="1" applyAlignment="1">
      <alignment horizontal="center"/>
    </xf>
    <xf numFmtId="4" fontId="1" fillId="0" borderId="0" xfId="353" applyAlignment="1">
      <alignment horizontal="right"/>
    </xf>
    <xf numFmtId="168" fontId="1" fillId="0" borderId="0" xfId="353" applyNumberFormat="1" applyFont="1" applyAlignment="1" applyProtection="1">
      <alignment horizontal="right"/>
      <protection locked="0"/>
    </xf>
    <xf numFmtId="4" fontId="1" fillId="0" borderId="0" xfId="353" applyFont="1" applyAlignment="1" applyProtection="1">
      <alignment horizontal="right"/>
      <protection locked="0"/>
    </xf>
    <xf numFmtId="4" fontId="1" fillId="0" borderId="0" xfId="353" applyNumberFormat="1" applyFont="1" applyAlignment="1" applyProtection="1">
      <alignment horizontal="center"/>
      <protection locked="0"/>
    </xf>
    <xf numFmtId="4" fontId="1" fillId="0" borderId="0" xfId="353" applyNumberFormat="1" applyFont="1" applyAlignment="1" applyProtection="1">
      <alignment horizontal="right"/>
      <protection locked="0"/>
    </xf>
    <xf numFmtId="4" fontId="1" fillId="0" borderId="0" xfId="92" applyNumberFormat="1" applyFont="1" applyAlignment="1" applyProtection="1">
      <alignment horizontal="right"/>
      <protection locked="0"/>
    </xf>
    <xf numFmtId="0" fontId="1" fillId="0" borderId="0" xfId="353" applyNumberFormat="1" applyFont="1" applyBorder="1" applyAlignment="1" applyProtection="1">
      <alignment horizontal="left"/>
      <protection locked="0"/>
    </xf>
    <xf numFmtId="0" fontId="1" fillId="0" borderId="0" xfId="353" applyNumberFormat="1" applyFont="1" applyBorder="1" applyAlignment="1" applyProtection="1">
      <alignment horizontal="left" wrapText="1"/>
      <protection locked="0"/>
    </xf>
    <xf numFmtId="4" fontId="47" fillId="0" borderId="0" xfId="353" applyFont="1" applyAlignment="1" applyProtection="1">
      <alignment horizontal="left"/>
    </xf>
    <xf numFmtId="1" fontId="1" fillId="0" borderId="0" xfId="353" applyNumberFormat="1" applyFont="1" applyAlignment="1" applyProtection="1">
      <alignment horizontal="center"/>
      <protection locked="0"/>
    </xf>
    <xf numFmtId="1" fontId="1" fillId="0" borderId="0" xfId="353" applyNumberFormat="1" applyFont="1" applyAlignment="1" applyProtection="1">
      <alignment horizontal="right"/>
      <protection locked="0"/>
    </xf>
    <xf numFmtId="1" fontId="1" fillId="0" borderId="0" xfId="353" applyNumberFormat="1" applyProtection="1">
      <protection locked="0"/>
    </xf>
    <xf numFmtId="4" fontId="47" fillId="0" borderId="0" xfId="353" applyFont="1" applyAlignment="1" applyProtection="1">
      <protection locked="0"/>
    </xf>
    <xf numFmtId="4" fontId="1" fillId="0" borderId="0" xfId="353" applyFont="1" applyAlignment="1" applyProtection="1">
      <protection locked="0"/>
    </xf>
    <xf numFmtId="3" fontId="1" fillId="0" borderId="0" xfId="354" applyNumberFormat="1" applyFont="1" applyAlignment="1" applyProtection="1">
      <protection locked="0"/>
    </xf>
    <xf numFmtId="3" fontId="1" fillId="0" borderId="0" xfId="353" applyNumberFormat="1" applyFont="1" applyAlignment="1" applyProtection="1">
      <alignment horizontal="right"/>
      <protection locked="0"/>
    </xf>
    <xf numFmtId="3" fontId="1" fillId="0" borderId="0" xfId="353" applyNumberFormat="1" applyFont="1" applyAlignment="1" applyProtection="1">
      <alignment horizontal="center"/>
      <protection locked="0"/>
    </xf>
    <xf numFmtId="3" fontId="1" fillId="0" borderId="0" xfId="353" applyNumberFormat="1" applyFont="1" applyAlignment="1" applyProtection="1">
      <protection locked="0"/>
    </xf>
    <xf numFmtId="4" fontId="1" fillId="0" borderId="0" xfId="354" applyFont="1" applyAlignment="1" applyProtection="1">
      <protection locked="0"/>
    </xf>
    <xf numFmtId="9" fontId="1" fillId="0" borderId="0" xfId="5" applyNumberFormat="1" applyFont="1" applyAlignment="1" applyProtection="1">
      <protection locked="0"/>
    </xf>
    <xf numFmtId="9" fontId="1" fillId="0" borderId="0" xfId="5" applyFont="1" applyAlignment="1" applyProtection="1">
      <protection locked="0"/>
    </xf>
    <xf numFmtId="9" fontId="1" fillId="0" borderId="0" xfId="5" applyNumberFormat="1" applyFont="1" applyAlignment="1" applyProtection="1">
      <alignment horizontal="right"/>
      <protection locked="0"/>
    </xf>
    <xf numFmtId="9" fontId="1" fillId="0" borderId="0" xfId="5" applyFont="1" applyAlignment="1" applyProtection="1">
      <alignment horizontal="center"/>
      <protection locked="0"/>
    </xf>
    <xf numFmtId="9" fontId="1" fillId="0" borderId="0" xfId="353" applyNumberFormat="1" applyFont="1" applyAlignment="1" applyProtection="1">
      <alignment horizontal="center"/>
      <protection locked="0"/>
    </xf>
    <xf numFmtId="9" fontId="1" fillId="0" borderId="0" xfId="7" applyNumberFormat="1" applyFont="1" applyAlignment="1" applyProtection="1">
      <protection locked="0"/>
    </xf>
    <xf numFmtId="4" fontId="47" fillId="0" borderId="0" xfId="354" applyFont="1" applyAlignment="1" applyProtection="1">
      <protection locked="0"/>
    </xf>
    <xf numFmtId="4" fontId="47" fillId="0" borderId="0" xfId="353" applyFont="1" applyAlignment="1" applyProtection="1">
      <alignment horizontal="right"/>
      <protection locked="0"/>
    </xf>
    <xf numFmtId="3" fontId="47" fillId="0" borderId="0" xfId="353" applyNumberFormat="1" applyFont="1" applyAlignment="1" applyProtection="1">
      <alignment horizontal="right"/>
      <protection locked="0"/>
    </xf>
    <xf numFmtId="3" fontId="47" fillId="0" borderId="0" xfId="353" applyNumberFormat="1" applyFont="1" applyAlignment="1" applyProtection="1">
      <alignment horizontal="center"/>
      <protection locked="0"/>
    </xf>
    <xf numFmtId="49" fontId="1" fillId="0" borderId="0" xfId="353" applyNumberFormat="1" applyFont="1" applyAlignment="1" applyProtection="1">
      <alignment horizontal="left" indent="2"/>
      <protection locked="0"/>
    </xf>
    <xf numFmtId="3" fontId="1" fillId="0" borderId="0" xfId="92" applyNumberFormat="1" applyFont="1" applyAlignment="1" applyProtection="1">
      <alignment horizontal="right"/>
      <protection locked="0"/>
    </xf>
    <xf numFmtId="9" fontId="1" fillId="0" borderId="0" xfId="354" applyNumberFormat="1" applyFont="1" applyAlignment="1" applyProtection="1">
      <protection locked="0"/>
    </xf>
    <xf numFmtId="9" fontId="1" fillId="0" borderId="0" xfId="353" applyNumberFormat="1" applyFont="1" applyAlignment="1" applyProtection="1">
      <alignment horizontal="right"/>
      <protection locked="0"/>
    </xf>
    <xf numFmtId="49" fontId="1" fillId="0" borderId="0" xfId="353" applyNumberFormat="1" applyFont="1" applyFill="1" applyAlignment="1" applyProtection="1">
      <alignment horizontal="left" indent="2"/>
      <protection locked="0"/>
    </xf>
    <xf numFmtId="2" fontId="1" fillId="0" borderId="0" xfId="353" quotePrefix="1" applyNumberFormat="1" applyFont="1" applyAlignment="1" applyProtection="1">
      <alignment horizontal="left" wrapText="1"/>
      <protection locked="0"/>
    </xf>
    <xf numFmtId="169" fontId="1" fillId="0" borderId="0" xfId="354" applyNumberFormat="1" applyFont="1" applyAlignment="1" applyProtection="1">
      <protection locked="0"/>
    </xf>
    <xf numFmtId="169" fontId="1" fillId="0" borderId="0" xfId="353" applyNumberFormat="1" applyFont="1" applyAlignment="1" applyProtection="1">
      <alignment horizontal="right"/>
      <protection locked="0"/>
    </xf>
    <xf numFmtId="169" fontId="1" fillId="0" borderId="0" xfId="353" applyNumberFormat="1" applyFont="1" applyAlignment="1" applyProtection="1">
      <alignment horizontal="center"/>
      <protection locked="0"/>
    </xf>
    <xf numFmtId="170" fontId="1" fillId="0" borderId="0" xfId="7" applyNumberFormat="1" applyFont="1" applyAlignment="1" applyProtection="1">
      <protection locked="0"/>
    </xf>
    <xf numFmtId="170" fontId="1" fillId="0" borderId="0" xfId="353" applyNumberFormat="1" applyFont="1" applyAlignment="1" applyProtection="1">
      <alignment horizontal="right"/>
      <protection locked="0"/>
    </xf>
    <xf numFmtId="170" fontId="1" fillId="0" borderId="0" xfId="353" applyNumberFormat="1" applyFont="1" applyAlignment="1" applyProtection="1">
      <alignment horizontal="center"/>
      <protection locked="0"/>
    </xf>
    <xf numFmtId="171" fontId="1" fillId="0" borderId="0" xfId="353" applyNumberFormat="1" applyFont="1" applyAlignment="1" applyProtection="1">
      <alignment horizontal="center"/>
      <protection locked="0"/>
    </xf>
    <xf numFmtId="3" fontId="47" fillId="0" borderId="0" xfId="354" applyNumberFormat="1" applyFont="1" applyAlignment="1" applyProtection="1">
      <protection locked="0"/>
    </xf>
    <xf numFmtId="3" fontId="1" fillId="0" borderId="0" xfId="354" applyNumberFormat="1" applyFont="1" applyAlignment="1" applyProtection="1">
      <alignment horizontal="right"/>
      <protection locked="0"/>
    </xf>
    <xf numFmtId="3" fontId="1" fillId="0" borderId="0" xfId="354" quotePrefix="1" applyNumberFormat="1" applyFont="1" applyAlignment="1" applyProtection="1">
      <alignment horizontal="right"/>
      <protection locked="0"/>
    </xf>
    <xf numFmtId="4" fontId="1" fillId="0" borderId="0" xfId="354" applyFont="1" applyAlignment="1" applyProtection="1">
      <alignment horizontal="right"/>
      <protection locked="0"/>
    </xf>
    <xf numFmtId="0" fontId="41" fillId="0" borderId="0" xfId="349" applyNumberFormat="1" applyAlignment="1"/>
    <xf numFmtId="4" fontId="47" fillId="0" borderId="0" xfId="353" applyNumberFormat="1" applyFont="1" applyAlignment="1" applyProtection="1">
      <alignment horizontal="center"/>
      <protection locked="0"/>
    </xf>
    <xf numFmtId="3" fontId="48" fillId="0" borderId="0" xfId="353" applyNumberFormat="1" applyFont="1" applyAlignment="1" applyProtection="1">
      <alignment horizontal="right"/>
      <protection locked="0"/>
    </xf>
    <xf numFmtId="4" fontId="48" fillId="0" borderId="0" xfId="353" applyFont="1" applyAlignment="1" applyProtection="1">
      <alignment horizontal="center"/>
      <protection locked="0"/>
    </xf>
    <xf numFmtId="4" fontId="1" fillId="0" borderId="0" xfId="353" applyFont="1" applyFill="1" applyAlignment="1" applyProtection="1">
      <alignment horizontal="right"/>
      <protection locked="0"/>
    </xf>
    <xf numFmtId="3" fontId="1" fillId="0" borderId="0" xfId="353" applyNumberFormat="1" applyFont="1" applyFill="1" applyAlignment="1" applyProtection="1">
      <alignment horizontal="right"/>
      <protection locked="0"/>
    </xf>
    <xf numFmtId="5" fontId="1" fillId="0" borderId="0" xfId="289" applyNumberFormat="1" applyFont="1" applyAlignment="1" applyProtection="1">
      <alignment horizontal="right"/>
      <protection locked="0"/>
    </xf>
    <xf numFmtId="5" fontId="1" fillId="0" borderId="0" xfId="289" applyNumberFormat="1" applyFont="1" applyAlignment="1" applyProtection="1">
      <alignment horizontal="center"/>
      <protection locked="0"/>
    </xf>
    <xf numFmtId="5" fontId="48" fillId="0" borderId="0" xfId="289" applyNumberFormat="1" applyFont="1" applyAlignment="1" applyProtection="1">
      <alignment horizontal="center"/>
      <protection locked="0"/>
    </xf>
    <xf numFmtId="5" fontId="1" fillId="0" borderId="0" xfId="353" applyNumberFormat="1" applyFont="1" applyAlignment="1" applyProtection="1">
      <alignment horizontal="center"/>
      <protection locked="0"/>
    </xf>
    <xf numFmtId="49" fontId="1" fillId="0" borderId="0" xfId="353" applyNumberFormat="1" applyFont="1" applyFill="1" applyAlignment="1" applyProtection="1">
      <alignment horizontal="left" wrapText="1"/>
      <protection locked="0"/>
    </xf>
    <xf numFmtId="4" fontId="1" fillId="0" borderId="0" xfId="353" applyFont="1" applyFill="1" applyAlignment="1" applyProtection="1">
      <alignment horizontal="center"/>
      <protection locked="0"/>
    </xf>
    <xf numFmtId="4" fontId="48" fillId="0" borderId="0" xfId="353" applyFont="1" applyFill="1" applyAlignment="1" applyProtection="1">
      <alignment horizontal="center"/>
      <protection locked="0"/>
    </xf>
    <xf numFmtId="3" fontId="1" fillId="0" borderId="0" xfId="353" applyNumberFormat="1" applyFont="1" applyFill="1" applyAlignment="1" applyProtection="1">
      <alignment horizontal="center"/>
      <protection locked="0"/>
    </xf>
    <xf numFmtId="1" fontId="1" fillId="0" borderId="0" xfId="353" applyNumberFormat="1" applyFont="1" applyFill="1" applyAlignment="1" applyProtection="1">
      <alignment horizontal="right"/>
      <protection locked="0"/>
    </xf>
    <xf numFmtId="1" fontId="48" fillId="0" borderId="0" xfId="353" applyNumberFormat="1" applyFont="1" applyAlignment="1" applyProtection="1">
      <alignment horizontal="right"/>
      <protection locked="0"/>
    </xf>
    <xf numFmtId="49" fontId="47" fillId="0" borderId="0" xfId="353" applyNumberFormat="1" applyFont="1" applyFill="1" applyAlignment="1" applyProtection="1">
      <alignment horizontal="left"/>
      <protection locked="0"/>
    </xf>
    <xf numFmtId="49" fontId="1" fillId="0" borderId="0" xfId="353" applyNumberFormat="1" applyFont="1" applyFill="1" applyAlignment="1" applyProtection="1">
      <alignment horizontal="left" indent="1"/>
      <protection locked="0"/>
    </xf>
    <xf numFmtId="4" fontId="49" fillId="0" borderId="0" xfId="353" applyFont="1" applyAlignment="1" applyProtection="1">
      <alignment horizontal="center"/>
      <protection locked="0"/>
    </xf>
    <xf numFmtId="169" fontId="1" fillId="0" borderId="0" xfId="353" applyNumberFormat="1" applyFont="1" applyFill="1" applyAlignment="1" applyProtection="1">
      <alignment horizontal="right"/>
      <protection locked="0"/>
    </xf>
    <xf numFmtId="169" fontId="48" fillId="0" borderId="0" xfId="353" applyNumberFormat="1" applyFont="1" applyAlignment="1" applyProtection="1">
      <alignment horizontal="right"/>
      <protection locked="0"/>
    </xf>
    <xf numFmtId="169" fontId="47" fillId="0" borderId="0" xfId="353" applyNumberFormat="1" applyFont="1" applyAlignment="1" applyProtection="1">
      <alignment horizontal="center"/>
      <protection locked="0"/>
    </xf>
    <xf numFmtId="0" fontId="47" fillId="0" borderId="0" xfId="353" applyNumberFormat="1" applyFont="1" applyAlignment="1" applyProtection="1">
      <alignment horizontal="center"/>
      <protection locked="0"/>
    </xf>
    <xf numFmtId="9" fontId="48" fillId="0" borderId="0" xfId="353" applyNumberFormat="1" applyFont="1" applyAlignment="1" applyProtection="1">
      <alignment horizontal="right"/>
      <protection locked="0"/>
    </xf>
    <xf numFmtId="49" fontId="1" fillId="0" borderId="0" xfId="353" applyNumberFormat="1" applyFont="1" applyAlignment="1" applyProtection="1">
      <alignment horizontal="left" indent="3"/>
      <protection locked="0"/>
    </xf>
    <xf numFmtId="3" fontId="48" fillId="0" borderId="0" xfId="353" applyNumberFormat="1" applyFont="1" applyAlignment="1" applyProtection="1">
      <alignment horizontal="center"/>
      <protection locked="0"/>
    </xf>
    <xf numFmtId="170" fontId="48" fillId="0" borderId="0" xfId="353" applyNumberFormat="1" applyFont="1" applyAlignment="1" applyProtection="1">
      <alignment horizontal="right"/>
      <protection locked="0"/>
    </xf>
    <xf numFmtId="170" fontId="48" fillId="0" borderId="0" xfId="353" applyNumberFormat="1" applyFont="1" applyAlignment="1" applyProtection="1">
      <alignment horizontal="center"/>
      <protection locked="0"/>
    </xf>
    <xf numFmtId="172" fontId="1" fillId="0" borderId="0" xfId="353" applyNumberFormat="1" applyFont="1" applyAlignment="1" applyProtection="1">
      <alignment horizontal="center"/>
      <protection locked="0"/>
    </xf>
    <xf numFmtId="4" fontId="47" fillId="0" borderId="0" xfId="353" applyFont="1" applyAlignment="1">
      <alignment horizontal="left" vertical="top"/>
    </xf>
    <xf numFmtId="0" fontId="41" fillId="0" borderId="0" xfId="349" applyAlignment="1">
      <alignment horizontal="left" wrapText="1" indent="1"/>
    </xf>
    <xf numFmtId="4" fontId="41" fillId="0" borderId="0" xfId="349" applyNumberFormat="1" applyAlignment="1">
      <alignment horizontal="left" wrapText="1" indent="1"/>
    </xf>
    <xf numFmtId="49" fontId="47" fillId="0" borderId="0" xfId="354" applyNumberFormat="1" applyFont="1" applyAlignment="1" applyProtection="1">
      <alignment horizontal="left"/>
      <protection locked="0"/>
    </xf>
    <xf numFmtId="49" fontId="47" fillId="0" borderId="0" xfId="354" applyNumberFormat="1" applyFont="1" applyAlignment="1" applyProtection="1">
      <alignment horizontal="left" wrapText="1"/>
      <protection locked="0"/>
    </xf>
    <xf numFmtId="4" fontId="47" fillId="0" borderId="0" xfId="353" applyFont="1" applyFill="1" applyAlignment="1" applyProtection="1">
      <alignment horizontal="center"/>
      <protection locked="0"/>
    </xf>
    <xf numFmtId="4" fontId="47" fillId="0" borderId="0" xfId="354" applyFont="1" applyAlignment="1" applyProtection="1">
      <alignment horizontal="center"/>
      <protection locked="0"/>
    </xf>
    <xf numFmtId="4" fontId="1" fillId="0" borderId="0" xfId="353" applyFont="1" applyAlignment="1" applyProtection="1">
      <alignment horizontal="left"/>
      <protection locked="0"/>
    </xf>
    <xf numFmtId="49" fontId="1" fillId="0" borderId="0" xfId="354" applyNumberFormat="1" applyFont="1" applyAlignment="1" applyProtection="1">
      <alignment horizontal="left" indent="1"/>
      <protection locked="0"/>
    </xf>
    <xf numFmtId="49" fontId="1" fillId="0" borderId="0" xfId="354" applyNumberFormat="1" applyFont="1" applyAlignment="1" applyProtection="1">
      <alignment horizontal="left" wrapText="1"/>
      <protection locked="0"/>
    </xf>
    <xf numFmtId="3" fontId="1" fillId="0" borderId="0" xfId="355" applyNumberFormat="1" applyFont="1" applyFill="1" applyAlignment="1" applyProtection="1">
      <alignment horizontal="center"/>
      <protection locked="0"/>
    </xf>
    <xf numFmtId="4" fontId="47" fillId="0" borderId="0" xfId="355" applyFont="1" applyFill="1" applyAlignment="1" applyProtection="1">
      <alignment horizontal="center"/>
      <protection locked="0"/>
    </xf>
    <xf numFmtId="4" fontId="1" fillId="0" borderId="0" xfId="354" applyFont="1" applyAlignment="1" applyProtection="1">
      <alignment horizontal="center"/>
      <protection locked="0"/>
    </xf>
    <xf numFmtId="4" fontId="1" fillId="0" borderId="0" xfId="355" applyFont="1" applyFill="1" applyAlignment="1" applyProtection="1">
      <alignment horizontal="center"/>
      <protection locked="0"/>
    </xf>
    <xf numFmtId="49" fontId="1" fillId="0" borderId="0" xfId="354" applyNumberFormat="1" applyFont="1" applyAlignment="1" applyProtection="1">
      <alignment horizontal="left" indent="2"/>
      <protection locked="0"/>
    </xf>
    <xf numFmtId="169" fontId="1" fillId="0" borderId="0" xfId="355" applyNumberFormat="1" applyFont="1" applyFill="1" applyAlignment="1" applyProtection="1">
      <alignment horizontal="right"/>
      <protection locked="0"/>
    </xf>
    <xf numFmtId="10" fontId="1" fillId="0" borderId="0" xfId="353" applyNumberFormat="1" applyFont="1" applyAlignment="1" applyProtection="1">
      <alignment horizontal="center"/>
      <protection locked="0"/>
    </xf>
    <xf numFmtId="3" fontId="1" fillId="0" borderId="0" xfId="355" applyNumberFormat="1" applyFont="1" applyFill="1" applyAlignment="1" applyProtection="1">
      <alignment horizontal="right"/>
      <protection locked="0"/>
    </xf>
    <xf numFmtId="169" fontId="1" fillId="0" borderId="0" xfId="356" applyNumberFormat="1" applyFont="1" applyFill="1" applyBorder="1" applyAlignment="1" applyProtection="1">
      <alignment horizontal="right"/>
      <protection locked="0"/>
    </xf>
    <xf numFmtId="169" fontId="1" fillId="0" borderId="0" xfId="354" applyNumberFormat="1" applyFont="1" applyBorder="1" applyAlignment="1" applyProtection="1">
      <alignment horizontal="right"/>
      <protection locked="0"/>
    </xf>
    <xf numFmtId="49" fontId="1" fillId="0" borderId="0" xfId="354" applyNumberFormat="1" applyFont="1" applyAlignment="1" applyProtection="1">
      <alignment horizontal="left" indent="3"/>
      <protection locked="0"/>
    </xf>
    <xf numFmtId="3" fontId="1" fillId="0" borderId="0" xfId="355" applyNumberFormat="1" applyFont="1" applyFill="1" applyAlignment="1" applyProtection="1">
      <protection locked="0"/>
    </xf>
    <xf numFmtId="4" fontId="1" fillId="0" borderId="0" xfId="353" applyFont="1" applyFill="1" applyAlignment="1" applyProtection="1">
      <protection locked="0"/>
    </xf>
    <xf numFmtId="3" fontId="1" fillId="0" borderId="0" xfId="353" applyNumberFormat="1" applyFont="1" applyFill="1" applyAlignment="1" applyProtection="1">
      <protection locked="0"/>
    </xf>
    <xf numFmtId="169" fontId="1" fillId="0" borderId="0" xfId="353" applyNumberFormat="1" applyFont="1" applyFill="1" applyAlignment="1" applyProtection="1">
      <protection locked="0"/>
    </xf>
    <xf numFmtId="173" fontId="1" fillId="0" borderId="0" xfId="356" applyNumberFormat="1" applyFont="1" applyFill="1" applyBorder="1" applyAlignment="1" applyProtection="1">
      <alignment horizontal="right"/>
      <protection locked="0"/>
    </xf>
    <xf numFmtId="3" fontId="1" fillId="0" borderId="0" xfId="356" applyNumberFormat="1" applyFont="1" applyFill="1" applyBorder="1" applyAlignment="1" applyProtection="1">
      <alignment horizontal="right"/>
      <protection locked="0"/>
    </xf>
    <xf numFmtId="3" fontId="1" fillId="0" borderId="0" xfId="354" applyNumberFormat="1" applyFont="1" applyBorder="1" applyAlignment="1" applyProtection="1">
      <alignment horizontal="right"/>
      <protection locked="0"/>
    </xf>
    <xf numFmtId="3" fontId="1" fillId="0" borderId="0" xfId="354" applyNumberFormat="1" applyFont="1" applyFill="1" applyBorder="1" applyAlignment="1" applyProtection="1">
      <alignment horizontal="right"/>
      <protection locked="0"/>
    </xf>
    <xf numFmtId="173" fontId="1" fillId="0" borderId="0" xfId="354" applyNumberFormat="1" applyFont="1" applyBorder="1" applyAlignment="1" applyProtection="1">
      <alignment horizontal="right"/>
      <protection locked="0"/>
    </xf>
    <xf numFmtId="4" fontId="1" fillId="0" borderId="0" xfId="354" applyNumberFormat="1" applyFont="1" applyBorder="1" applyAlignment="1" applyProtection="1">
      <alignment horizontal="right"/>
      <protection locked="0"/>
    </xf>
    <xf numFmtId="49" fontId="47" fillId="0" borderId="0" xfId="354" applyNumberFormat="1" applyFont="1" applyAlignment="1" applyProtection="1">
      <protection locked="0"/>
    </xf>
    <xf numFmtId="0" fontId="1" fillId="0" borderId="0" xfId="353" applyNumberFormat="1" applyFill="1" applyAlignment="1">
      <alignment horizontal="right"/>
    </xf>
    <xf numFmtId="0" fontId="1" fillId="0" borderId="0" xfId="353" applyNumberFormat="1" applyFill="1" applyAlignment="1">
      <alignment horizontal="center"/>
    </xf>
    <xf numFmtId="0" fontId="1" fillId="0" borderId="0" xfId="355" applyNumberFormat="1" applyFill="1" applyAlignment="1">
      <alignment horizontal="right"/>
    </xf>
    <xf numFmtId="49" fontId="1" fillId="0" borderId="0" xfId="354" applyNumberFormat="1" applyFont="1" applyAlignment="1" applyProtection="1">
      <alignment horizontal="left" wrapText="1" indent="1"/>
      <protection locked="0"/>
    </xf>
    <xf numFmtId="49" fontId="1" fillId="0" borderId="0" xfId="354" applyNumberFormat="1" applyFont="1" applyAlignment="1" applyProtection="1">
      <alignment horizontal="left" wrapText="1" indent="2"/>
      <protection locked="0"/>
    </xf>
    <xf numFmtId="49" fontId="1" fillId="0" borderId="0" xfId="354" applyNumberFormat="1" applyFont="1" applyAlignment="1" applyProtection="1">
      <alignment horizontal="left" wrapText="1" indent="3"/>
      <protection locked="0"/>
    </xf>
    <xf numFmtId="3" fontId="1" fillId="0" borderId="0" xfId="355" applyNumberFormat="1" applyFill="1" applyAlignment="1">
      <alignment horizontal="right"/>
    </xf>
    <xf numFmtId="3" fontId="1" fillId="0" borderId="0" xfId="353" applyNumberFormat="1" applyAlignment="1"/>
    <xf numFmtId="169" fontId="1" fillId="0" borderId="0" xfId="355" applyNumberFormat="1" applyFill="1" applyAlignment="1">
      <alignment horizontal="right"/>
    </xf>
    <xf numFmtId="169" fontId="1" fillId="0" borderId="0" xfId="355" applyNumberFormat="1" applyFill="1" applyAlignment="1"/>
    <xf numFmtId="169" fontId="1" fillId="0" borderId="0" xfId="356" applyNumberFormat="1" applyFont="1" applyFill="1" applyAlignment="1" applyProtection="1">
      <alignment horizontal="right"/>
      <protection locked="0"/>
    </xf>
    <xf numFmtId="0" fontId="1" fillId="0" borderId="0" xfId="349" applyFont="1" applyAlignment="1">
      <alignment horizontal="left" wrapText="1" indent="2"/>
    </xf>
    <xf numFmtId="168" fontId="1" fillId="0" borderId="0" xfId="9" applyNumberFormat="1" applyFont="1" applyFill="1" applyAlignment="1" applyProtection="1">
      <alignment horizontal="right" vertical="center" wrapText="1"/>
      <protection locked="0"/>
    </xf>
    <xf numFmtId="4" fontId="1" fillId="0" borderId="0" xfId="353" applyFill="1" applyAlignment="1">
      <alignment horizontal="left" wrapText="1" indent="1"/>
    </xf>
    <xf numFmtId="168" fontId="1" fillId="0" borderId="0" xfId="9" applyNumberFormat="1" applyFont="1" applyFill="1" applyAlignment="1" applyProtection="1">
      <alignment vertical="center" wrapText="1"/>
      <protection locked="0"/>
    </xf>
    <xf numFmtId="4" fontId="1" fillId="0" borderId="0" xfId="353" applyAlignment="1">
      <alignment horizontal="left" wrapText="1" indent="1"/>
    </xf>
    <xf numFmtId="168" fontId="1" fillId="0" borderId="0" xfId="354" applyNumberFormat="1" applyFont="1" applyAlignment="1" applyProtection="1">
      <alignment horizontal="left" wrapText="1" indent="1"/>
      <protection locked="0"/>
    </xf>
    <xf numFmtId="4" fontId="1" fillId="0" borderId="0" xfId="354" applyFont="1" applyAlignment="1" applyProtection="1">
      <alignment horizontal="left" wrapText="1" indent="1"/>
      <protection locked="0"/>
    </xf>
    <xf numFmtId="168" fontId="1" fillId="0" borderId="0" xfId="355" applyNumberFormat="1" applyFill="1" applyAlignment="1">
      <alignment vertical="center" wrapText="1"/>
    </xf>
    <xf numFmtId="4" fontId="1" fillId="0" borderId="0" xfId="353" applyFont="1" applyAlignment="1" applyProtection="1">
      <alignment horizontal="left" wrapText="1" indent="1"/>
      <protection locked="0"/>
    </xf>
    <xf numFmtId="49" fontId="45" fillId="0" borderId="0" xfId="353" applyNumberFormat="1" applyFont="1" applyAlignment="1">
      <alignment horizontal="left" wrapText="1" indent="1"/>
    </xf>
    <xf numFmtId="0" fontId="1" fillId="0" borderId="0" xfId="349" applyFont="1" applyAlignment="1">
      <alignment horizontal="left" vertical="top" wrapText="1" indent="2"/>
    </xf>
    <xf numFmtId="49" fontId="1" fillId="0" borderId="0" xfId="354" applyNumberFormat="1" applyFont="1" applyAlignment="1" applyProtection="1">
      <alignment horizontal="left" vertical="top" wrapText="1" indent="1"/>
      <protection locked="0"/>
    </xf>
    <xf numFmtId="3" fontId="1" fillId="0" borderId="0" xfId="355" applyNumberFormat="1" applyFill="1" applyAlignment="1">
      <alignment vertical="top"/>
    </xf>
    <xf numFmtId="4" fontId="1" fillId="0" borderId="0" xfId="353" applyFill="1" applyAlignment="1">
      <alignment horizontal="left" vertical="top" indent="1"/>
    </xf>
    <xf numFmtId="3" fontId="1" fillId="0" borderId="0" xfId="353" applyNumberFormat="1" applyAlignment="1">
      <alignment vertical="top"/>
    </xf>
    <xf numFmtId="4" fontId="1" fillId="0" borderId="0" xfId="353" applyAlignment="1">
      <alignment horizontal="left" vertical="top" indent="1"/>
    </xf>
    <xf numFmtId="3" fontId="1" fillId="0" borderId="0" xfId="354" applyNumberFormat="1" applyFont="1" applyAlignment="1" applyProtection="1">
      <alignment horizontal="left" vertical="top" indent="1"/>
      <protection locked="0"/>
    </xf>
    <xf numFmtId="4" fontId="1" fillId="0" borderId="0" xfId="354" applyFont="1" applyAlignment="1" applyProtection="1">
      <alignment horizontal="left" vertical="top" indent="1"/>
      <protection locked="0"/>
    </xf>
    <xf numFmtId="4" fontId="1" fillId="0" borderId="0" xfId="353" applyFont="1" applyAlignment="1" applyProtection="1">
      <alignment horizontal="left" vertical="top" indent="1"/>
      <protection locked="0"/>
    </xf>
    <xf numFmtId="49" fontId="45" fillId="0" borderId="0" xfId="353" applyNumberFormat="1" applyFont="1" applyAlignment="1">
      <alignment horizontal="left" vertical="top" wrapText="1" indent="1"/>
    </xf>
    <xf numFmtId="3" fontId="1" fillId="0" borderId="0" xfId="353" applyNumberFormat="1" applyAlignment="1">
      <alignment horizontal="right"/>
    </xf>
    <xf numFmtId="49" fontId="47" fillId="0" borderId="0" xfId="357" applyNumberFormat="1" applyFont="1" applyAlignment="1" applyProtection="1">
      <protection locked="0"/>
    </xf>
    <xf numFmtId="49" fontId="1" fillId="0" borderId="0" xfId="356" applyNumberFormat="1" applyFont="1" applyAlignment="1" applyProtection="1">
      <alignment horizontal="left" indent="1"/>
      <protection locked="0"/>
    </xf>
    <xf numFmtId="169" fontId="1" fillId="0" borderId="0" xfId="353" applyNumberFormat="1" applyFont="1" applyAlignment="1" applyProtection="1">
      <protection locked="0"/>
    </xf>
    <xf numFmtId="49" fontId="1" fillId="0" borderId="0" xfId="357" applyNumberFormat="1" applyFont="1" applyAlignment="1" applyProtection="1">
      <alignment horizontal="left" indent="1"/>
      <protection locked="0"/>
    </xf>
    <xf numFmtId="49" fontId="1" fillId="0" borderId="0" xfId="357" applyNumberFormat="1" applyFont="1" applyAlignment="1" applyProtection="1">
      <alignment horizontal="left" wrapText="1"/>
      <protection locked="0"/>
    </xf>
    <xf numFmtId="169" fontId="1" fillId="0" borderId="0" xfId="357" applyNumberFormat="1" applyFont="1" applyAlignment="1" applyProtection="1">
      <protection locked="0"/>
    </xf>
    <xf numFmtId="49" fontId="1" fillId="0" borderId="0" xfId="357" applyNumberFormat="1" applyFont="1" applyAlignment="1" applyProtection="1">
      <alignment horizontal="left" indent="2"/>
      <protection locked="0"/>
    </xf>
    <xf numFmtId="49" fontId="1" fillId="0" borderId="0" xfId="357" applyNumberFormat="1" applyFont="1" applyAlignment="1" applyProtection="1">
      <alignment horizontal="left" indent="3"/>
      <protection locked="0"/>
    </xf>
    <xf numFmtId="169" fontId="1" fillId="0" borderId="0" xfId="357" applyNumberFormat="1" applyFont="1" applyFill="1" applyAlignment="1" applyProtection="1">
      <protection locked="0"/>
    </xf>
    <xf numFmtId="169" fontId="1" fillId="0" borderId="0" xfId="289" applyNumberFormat="1" applyFont="1" applyFill="1" applyAlignment="1" applyProtection="1">
      <alignment horizontal="right"/>
      <protection locked="0"/>
    </xf>
    <xf numFmtId="0" fontId="1" fillId="0" borderId="0" xfId="349" applyFont="1" applyAlignment="1">
      <alignment horizontal="left" indent="2"/>
    </xf>
    <xf numFmtId="49" fontId="1" fillId="0" borderId="0" xfId="354" applyNumberFormat="1" applyFont="1" applyAlignment="1" applyProtection="1">
      <alignment horizontal="left"/>
      <protection locked="0"/>
    </xf>
    <xf numFmtId="3" fontId="47" fillId="0" borderId="0" xfId="353" applyNumberFormat="1" applyFont="1" applyFill="1" applyAlignment="1" applyProtection="1">
      <alignment horizontal="center"/>
      <protection locked="0"/>
    </xf>
    <xf numFmtId="170" fontId="1" fillId="0" borderId="0" xfId="7" applyNumberFormat="1" applyFont="1" applyFill="1" applyAlignment="1" applyProtection="1">
      <alignment horizontal="right"/>
      <protection locked="0"/>
    </xf>
    <xf numFmtId="170" fontId="47" fillId="0" borderId="0" xfId="353" applyNumberFormat="1" applyFont="1" applyFill="1" applyAlignment="1" applyProtection="1">
      <alignment horizontal="center"/>
      <protection locked="0"/>
    </xf>
    <xf numFmtId="170" fontId="47" fillId="0" borderId="0" xfId="353" applyNumberFormat="1" applyFont="1" applyAlignment="1" applyProtection="1">
      <alignment horizontal="center"/>
      <protection locked="0"/>
    </xf>
    <xf numFmtId="170" fontId="47" fillId="0" borderId="0" xfId="354" applyNumberFormat="1" applyFont="1" applyAlignment="1" applyProtection="1">
      <protection locked="0"/>
    </xf>
    <xf numFmtId="3" fontId="1" fillId="0" borderId="0" xfId="357" applyNumberFormat="1" applyFont="1" applyAlignment="1" applyProtection="1">
      <alignment horizontal="right"/>
      <protection locked="0"/>
    </xf>
    <xf numFmtId="3" fontId="1" fillId="0" borderId="0" xfId="356" applyNumberFormat="1" applyFont="1" applyFill="1" applyAlignment="1" applyProtection="1">
      <alignment horizontal="right"/>
      <protection locked="0"/>
    </xf>
    <xf numFmtId="3" fontId="41" fillId="0" borderId="0" xfId="349" applyNumberFormat="1" applyFill="1"/>
    <xf numFmtId="0" fontId="41" fillId="0" borderId="0" xfId="349" applyNumberFormat="1" applyFill="1"/>
    <xf numFmtId="0" fontId="51" fillId="0" borderId="0" xfId="349" applyFont="1"/>
    <xf numFmtId="49" fontId="47" fillId="0" borderId="0" xfId="354" applyNumberFormat="1" applyFont="1" applyBorder="1" applyAlignment="1" applyProtection="1">
      <alignment horizontal="left" wrapText="1"/>
      <protection locked="0"/>
    </xf>
    <xf numFmtId="4" fontId="1" fillId="0" borderId="0" xfId="353" applyFill="1" applyProtection="1">
      <protection locked="0"/>
    </xf>
    <xf numFmtId="4" fontId="1" fillId="0" borderId="0" xfId="354" applyNumberFormat="1" applyProtection="1">
      <protection locked="0"/>
    </xf>
    <xf numFmtId="4" fontId="1" fillId="0" borderId="0" xfId="354" applyProtection="1">
      <protection locked="0"/>
    </xf>
    <xf numFmtId="4" fontId="47" fillId="0" borderId="0" xfId="354" applyFont="1" applyAlignment="1" applyProtection="1">
      <alignment horizontal="left"/>
      <protection locked="0"/>
    </xf>
    <xf numFmtId="4" fontId="47" fillId="0" borderId="0" xfId="354" applyFont="1" applyAlignment="1" applyProtection="1">
      <alignment horizontal="left" wrapText="1"/>
      <protection locked="0"/>
    </xf>
    <xf numFmtId="4" fontId="1" fillId="0" borderId="0" xfId="354" applyNumberFormat="1" applyAlignment="1" applyProtection="1">
      <alignment horizontal="right"/>
      <protection locked="0"/>
    </xf>
    <xf numFmtId="0" fontId="1" fillId="0" borderId="0" xfId="354" applyNumberFormat="1" applyAlignment="1" applyProtection="1">
      <alignment horizontal="center"/>
      <protection locked="0"/>
    </xf>
    <xf numFmtId="4" fontId="1" fillId="0" borderId="0" xfId="354" applyNumberFormat="1" applyAlignment="1" applyProtection="1">
      <protection locked="0"/>
    </xf>
    <xf numFmtId="0" fontId="1" fillId="0" borderId="0" xfId="349" applyFont="1" applyFill="1" applyAlignment="1">
      <alignment horizontal="left"/>
    </xf>
    <xf numFmtId="0" fontId="41" fillId="0" borderId="0" xfId="349" applyFill="1" applyAlignment="1"/>
    <xf numFmtId="0" fontId="41" fillId="0" borderId="0" xfId="349" applyFill="1" applyAlignment="1">
      <alignment wrapText="1"/>
    </xf>
    <xf numFmtId="4" fontId="1" fillId="0" borderId="0" xfId="355" applyFill="1"/>
    <xf numFmtId="0" fontId="41" fillId="0" borderId="0" xfId="349" applyFill="1" applyAlignment="1">
      <alignment horizontal="left" wrapText="1" indent="1"/>
    </xf>
    <xf numFmtId="4" fontId="41" fillId="30" borderId="0" xfId="349" applyNumberFormat="1" applyFill="1" applyAlignment="1">
      <alignment horizontal="left" wrapText="1" indent="1"/>
    </xf>
    <xf numFmtId="0" fontId="41" fillId="30" borderId="0" xfId="349" applyFill="1" applyAlignment="1">
      <alignment horizontal="left" wrapText="1" indent="1"/>
    </xf>
    <xf numFmtId="0" fontId="1" fillId="0" borderId="0" xfId="349" applyFont="1" applyAlignment="1">
      <alignment horizontal="left"/>
    </xf>
    <xf numFmtId="0" fontId="1" fillId="0" borderId="0" xfId="353" applyNumberFormat="1" applyFont="1" applyAlignment="1">
      <alignment horizontal="left"/>
    </xf>
    <xf numFmtId="3" fontId="1" fillId="0" borderId="0" xfId="358" applyNumberFormat="1" applyFont="1" applyAlignment="1" applyProtection="1">
      <alignment horizontal="right"/>
      <protection locked="0"/>
    </xf>
    <xf numFmtId="4" fontId="1" fillId="0" borderId="0" xfId="359" applyFont="1" applyAlignment="1" applyProtection="1">
      <alignment horizontal="center"/>
      <protection locked="0"/>
    </xf>
    <xf numFmtId="3" fontId="1" fillId="0" borderId="0" xfId="359" applyNumberFormat="1" applyFont="1" applyAlignment="1" applyProtection="1">
      <alignment horizontal="right"/>
      <protection locked="0"/>
    </xf>
    <xf numFmtId="3" fontId="1" fillId="0" borderId="0" xfId="356" applyNumberFormat="1" applyFont="1" applyAlignment="1" applyProtection="1">
      <alignment horizontal="right"/>
      <protection locked="0"/>
    </xf>
    <xf numFmtId="3" fontId="1" fillId="0" borderId="0" xfId="358" applyNumberFormat="1" applyFont="1" applyAlignment="1" applyProtection="1">
      <protection locked="0"/>
    </xf>
    <xf numFmtId="4" fontId="1" fillId="0" borderId="0" xfId="359" applyFont="1" applyAlignment="1" applyProtection="1">
      <protection locked="0"/>
    </xf>
    <xf numFmtId="3" fontId="1" fillId="0" borderId="0" xfId="359" applyNumberFormat="1" applyFont="1" applyAlignment="1" applyProtection="1">
      <protection locked="0"/>
    </xf>
    <xf numFmtId="9" fontId="1" fillId="0" borderId="0" xfId="358" applyNumberFormat="1" applyFont="1" applyBorder="1" applyAlignment="1" applyProtection="1">
      <alignment horizontal="right"/>
      <protection locked="0"/>
    </xf>
    <xf numFmtId="9" fontId="1" fillId="0" borderId="0" xfId="359" applyNumberFormat="1" applyFont="1" applyAlignment="1" applyProtection="1">
      <alignment horizontal="right"/>
      <protection locked="0"/>
    </xf>
    <xf numFmtId="9" fontId="1" fillId="0" borderId="0" xfId="356" applyNumberFormat="1" applyFont="1" applyAlignment="1" applyProtection="1">
      <alignment horizontal="right"/>
      <protection locked="0"/>
    </xf>
    <xf numFmtId="173" fontId="1" fillId="0" borderId="0" xfId="358" applyNumberFormat="1" applyFont="1" applyFill="1" applyBorder="1" applyAlignment="1" applyProtection="1">
      <alignment horizontal="right"/>
      <protection locked="0"/>
    </xf>
    <xf numFmtId="173" fontId="1" fillId="0" borderId="0" xfId="359" applyNumberFormat="1" applyFont="1" applyAlignment="1" applyProtection="1">
      <alignment horizontal="right"/>
      <protection locked="0"/>
    </xf>
    <xf numFmtId="173" fontId="1" fillId="0" borderId="0" xfId="356" applyNumberFormat="1" applyFont="1" applyAlignment="1" applyProtection="1">
      <alignment horizontal="right"/>
      <protection locked="0"/>
    </xf>
    <xf numFmtId="173" fontId="1" fillId="0" borderId="0" xfId="353" applyNumberFormat="1" applyFont="1" applyAlignment="1" applyProtection="1">
      <alignment horizontal="right"/>
      <protection locked="0"/>
    </xf>
    <xf numFmtId="173" fontId="1" fillId="0" borderId="0" xfId="353" applyNumberFormat="1" applyFont="1" applyAlignment="1" applyProtection="1">
      <alignment horizontal="center"/>
      <protection locked="0"/>
    </xf>
    <xf numFmtId="3" fontId="1" fillId="0" borderId="0" xfId="358" applyNumberFormat="1" applyFont="1" applyBorder="1" applyAlignment="1" applyProtection="1">
      <alignment horizontal="right"/>
      <protection locked="0"/>
    </xf>
    <xf numFmtId="4" fontId="1" fillId="0" borderId="0" xfId="358" applyFont="1" applyBorder="1" applyAlignment="1" applyProtection="1">
      <alignment horizontal="right"/>
      <protection locked="0"/>
    </xf>
    <xf numFmtId="4" fontId="47" fillId="0" borderId="0" xfId="359" applyFont="1" applyAlignment="1" applyProtection="1">
      <alignment horizontal="center"/>
      <protection locked="0"/>
    </xf>
    <xf numFmtId="4" fontId="47" fillId="0" borderId="0" xfId="356" applyFont="1" applyAlignment="1" applyProtection="1">
      <alignment horizontal="right"/>
      <protection locked="0"/>
    </xf>
    <xf numFmtId="4" fontId="1" fillId="0" borderId="0" xfId="359" applyFont="1" applyAlignment="1" applyProtection="1">
      <alignment horizontal="right"/>
      <protection locked="0"/>
    </xf>
    <xf numFmtId="4" fontId="1" fillId="0" borderId="0" xfId="358" applyNumberFormat="1" applyFont="1" applyBorder="1" applyAlignment="1" applyProtection="1">
      <alignment horizontal="right"/>
      <protection locked="0"/>
    </xf>
    <xf numFmtId="3" fontId="1" fillId="0" borderId="0" xfId="358" applyNumberFormat="1" applyFont="1" applyFill="1" applyBorder="1" applyAlignment="1" applyProtection="1">
      <alignment horizontal="right"/>
      <protection locked="0"/>
    </xf>
    <xf numFmtId="3" fontId="1" fillId="0" borderId="0" xfId="353" applyNumberFormat="1" applyFont="1" applyBorder="1" applyAlignment="1" applyProtection="1">
      <alignment horizontal="center"/>
      <protection locked="0"/>
    </xf>
    <xf numFmtId="4" fontId="1" fillId="0" borderId="0" xfId="358" applyFont="1" applyAlignment="1" applyProtection="1">
      <alignment horizontal="right"/>
      <protection locked="0"/>
    </xf>
    <xf numFmtId="3" fontId="47" fillId="0" borderId="0" xfId="359" applyNumberFormat="1" applyFont="1" applyAlignment="1" applyProtection="1">
      <alignment horizontal="center"/>
      <protection locked="0"/>
    </xf>
    <xf numFmtId="3" fontId="47" fillId="0" borderId="0" xfId="356" applyNumberFormat="1" applyFont="1" applyAlignment="1" applyProtection="1">
      <alignment horizontal="right"/>
      <protection locked="0"/>
    </xf>
    <xf numFmtId="3" fontId="1" fillId="0" borderId="0" xfId="358" applyNumberFormat="1" applyFont="1" applyFill="1" applyAlignment="1" applyProtection="1">
      <alignment horizontal="right"/>
      <protection locked="0"/>
    </xf>
    <xf numFmtId="3" fontId="1" fillId="0" borderId="0" xfId="359" applyNumberFormat="1" applyFont="1" applyFill="1" applyAlignment="1" applyProtection="1">
      <alignment horizontal="right"/>
      <protection locked="0"/>
    </xf>
    <xf numFmtId="4" fontId="1" fillId="0" borderId="0" xfId="358" applyFont="1" applyFill="1" applyAlignment="1" applyProtection="1">
      <alignment horizontal="right"/>
      <protection locked="0"/>
    </xf>
    <xf numFmtId="3" fontId="1" fillId="0" borderId="0" xfId="359" applyNumberFormat="1" applyFont="1" applyFill="1" applyAlignment="1" applyProtection="1">
      <alignment horizontal="center"/>
      <protection locked="0"/>
    </xf>
    <xf numFmtId="3" fontId="47" fillId="0" borderId="0" xfId="359" applyNumberFormat="1" applyFont="1" applyFill="1" applyAlignment="1" applyProtection="1">
      <alignment horizontal="center"/>
      <protection locked="0"/>
    </xf>
    <xf numFmtId="4" fontId="47" fillId="0" borderId="0" xfId="359" applyFont="1" applyAlignment="1" applyProtection="1">
      <alignment horizontal="right"/>
      <protection locked="0"/>
    </xf>
    <xf numFmtId="3" fontId="47" fillId="0" borderId="0" xfId="359" applyNumberFormat="1" applyFont="1" applyFill="1" applyAlignment="1" applyProtection="1">
      <alignment horizontal="right"/>
      <protection locked="0"/>
    </xf>
    <xf numFmtId="4" fontId="47" fillId="0" borderId="0" xfId="353" applyFont="1" applyBorder="1" applyAlignment="1" applyProtection="1">
      <alignment horizontal="center"/>
      <protection locked="0"/>
    </xf>
    <xf numFmtId="4" fontId="1" fillId="0" borderId="0" xfId="353" applyFont="1" applyAlignment="1">
      <alignment horizontal="left" indent="1"/>
    </xf>
    <xf numFmtId="4" fontId="1" fillId="0" borderId="0" xfId="353" applyFont="1" applyAlignment="1">
      <alignment horizontal="left" vertical="top"/>
    </xf>
    <xf numFmtId="169" fontId="1" fillId="0" borderId="0" xfId="354" applyNumberFormat="1" applyFont="1" applyAlignment="1" applyProtection="1">
      <alignment horizontal="right"/>
      <protection locked="0"/>
    </xf>
    <xf numFmtId="4" fontId="1" fillId="0" borderId="0" xfId="353" applyNumberFormat="1" applyFont="1" applyBorder="1" applyAlignment="1" applyProtection="1">
      <alignment horizontal="right"/>
      <protection locked="0"/>
    </xf>
    <xf numFmtId="0" fontId="1" fillId="0" borderId="0" xfId="353" applyNumberFormat="1" applyFont="1" applyBorder="1" applyAlignment="1" applyProtection="1">
      <alignment horizontal="center"/>
      <protection locked="0"/>
    </xf>
    <xf numFmtId="4" fontId="1" fillId="0" borderId="0" xfId="353" applyNumberFormat="1" applyFont="1" applyProtection="1">
      <protection locked="0"/>
    </xf>
    <xf numFmtId="4" fontId="1" fillId="0" borderId="0" xfId="353" applyFont="1" applyProtection="1">
      <protection locked="0"/>
    </xf>
    <xf numFmtId="49" fontId="1" fillId="0" borderId="0" xfId="353" applyNumberFormat="1" applyFont="1" applyBorder="1" applyAlignment="1" applyProtection="1">
      <alignment horizontal="left" wrapText="1"/>
      <protection locked="0"/>
    </xf>
    <xf numFmtId="4" fontId="1" fillId="0" borderId="0" xfId="353" applyFont="1" applyAlignment="1">
      <alignment horizontal="left"/>
    </xf>
    <xf numFmtId="4" fontId="1" fillId="0" borderId="0" xfId="353" applyFont="1" applyAlignment="1">
      <alignment horizontal="left" wrapText="1"/>
    </xf>
    <xf numFmtId="4" fontId="1" fillId="0" borderId="0" xfId="353" applyFont="1" applyAlignment="1">
      <alignment horizontal="right"/>
    </xf>
    <xf numFmtId="0" fontId="1" fillId="0" borderId="0" xfId="353" applyNumberFormat="1" applyFont="1" applyAlignment="1">
      <alignment horizontal="right"/>
    </xf>
    <xf numFmtId="0" fontId="1" fillId="0" borderId="0" xfId="353" applyNumberFormat="1" applyFont="1" applyAlignment="1">
      <alignment horizontal="center"/>
    </xf>
    <xf numFmtId="0" fontId="41" fillId="0" borderId="0" xfId="349" applyNumberFormat="1" applyAlignment="1">
      <alignment vertical="top"/>
    </xf>
    <xf numFmtId="0" fontId="41" fillId="0" borderId="0" xfId="349" applyAlignment="1">
      <alignment vertical="top"/>
    </xf>
    <xf numFmtId="4" fontId="47" fillId="0" borderId="0" xfId="353" applyFont="1" applyAlignment="1">
      <alignment horizontal="left"/>
    </xf>
    <xf numFmtId="49" fontId="47" fillId="0" borderId="0" xfId="358" applyNumberFormat="1" applyFont="1" applyFill="1" applyAlignment="1">
      <alignment horizontal="left"/>
    </xf>
    <xf numFmtId="49" fontId="45" fillId="0" borderId="0" xfId="358" applyNumberFormat="1" applyFont="1" applyAlignment="1">
      <alignment horizontal="left" wrapText="1"/>
    </xf>
    <xf numFmtId="4" fontId="1" fillId="0" borderId="0" xfId="358" applyFont="1" applyAlignment="1"/>
    <xf numFmtId="49" fontId="47" fillId="0" borderId="0" xfId="358" applyNumberFormat="1" applyFont="1" applyAlignment="1" applyProtection="1">
      <alignment horizontal="left"/>
      <protection locked="0"/>
    </xf>
    <xf numFmtId="49" fontId="47" fillId="0" borderId="0" xfId="358" applyNumberFormat="1" applyFont="1" applyAlignment="1" applyProtection="1">
      <alignment horizontal="left" wrapText="1"/>
      <protection locked="0"/>
    </xf>
    <xf numFmtId="49" fontId="1" fillId="0" borderId="0" xfId="358" applyNumberFormat="1" applyFont="1" applyAlignment="1" applyProtection="1">
      <alignment horizontal="left" indent="1"/>
      <protection locked="0"/>
    </xf>
    <xf numFmtId="49" fontId="1" fillId="0" borderId="0" xfId="358" applyNumberFormat="1" applyFont="1" applyAlignment="1" applyProtection="1">
      <alignment horizontal="left" wrapText="1"/>
      <protection locked="0"/>
    </xf>
    <xf numFmtId="49" fontId="1" fillId="0" borderId="0" xfId="358" applyNumberFormat="1" applyFont="1" applyAlignment="1" applyProtection="1">
      <alignment horizontal="left" indent="2"/>
      <protection locked="0"/>
    </xf>
    <xf numFmtId="3" fontId="1" fillId="0" borderId="0" xfId="358" applyNumberFormat="1" applyFont="1" applyAlignment="1">
      <alignment horizontal="right"/>
    </xf>
    <xf numFmtId="4" fontId="45" fillId="0" borderId="0" xfId="358" applyFont="1" applyAlignment="1">
      <alignment horizontal="right"/>
    </xf>
    <xf numFmtId="3" fontId="47" fillId="0" borderId="0" xfId="353" applyNumberFormat="1" applyFont="1" applyAlignment="1">
      <alignment horizontal="right"/>
    </xf>
    <xf numFmtId="3" fontId="1" fillId="0" borderId="0" xfId="353" applyNumberFormat="1" applyFont="1" applyAlignment="1">
      <alignment horizontal="right"/>
    </xf>
    <xf numFmtId="3" fontId="1" fillId="0" borderId="0" xfId="358" applyNumberFormat="1" applyFont="1" applyAlignment="1"/>
    <xf numFmtId="41" fontId="1" fillId="0" borderId="0" xfId="358" applyNumberFormat="1" applyFont="1" applyAlignment="1">
      <alignment horizontal="right"/>
    </xf>
    <xf numFmtId="41" fontId="1" fillId="0" borderId="0" xfId="358" applyNumberFormat="1" applyFont="1" applyAlignment="1"/>
    <xf numFmtId="4" fontId="1" fillId="0" borderId="0" xfId="358" applyNumberFormat="1" applyFont="1" applyAlignment="1">
      <alignment horizontal="right"/>
    </xf>
    <xf numFmtId="4" fontId="1" fillId="0" borderId="0" xfId="358" applyNumberFormat="1" applyFont="1" applyAlignment="1"/>
    <xf numFmtId="49" fontId="1" fillId="0" borderId="0" xfId="358" applyNumberFormat="1" applyFont="1" applyAlignment="1" applyProtection="1">
      <alignment horizontal="left"/>
      <protection locked="0"/>
    </xf>
    <xf numFmtId="3" fontId="45" fillId="0" borderId="0" xfId="353" applyNumberFormat="1" applyFont="1" applyAlignment="1">
      <alignment horizontal="center"/>
    </xf>
    <xf numFmtId="3" fontId="1" fillId="0" borderId="0" xfId="358" applyNumberFormat="1" applyFont="1" applyAlignment="1">
      <alignment horizontal="center"/>
    </xf>
    <xf numFmtId="4" fontId="47" fillId="0" borderId="0" xfId="358" applyFont="1" applyAlignment="1" applyProtection="1">
      <alignment horizontal="left"/>
      <protection locked="0"/>
    </xf>
    <xf numFmtId="4" fontId="47" fillId="0" borderId="0" xfId="358" applyFont="1" applyAlignment="1" applyProtection="1">
      <alignment horizontal="left" wrapText="1"/>
      <protection locked="0"/>
    </xf>
    <xf numFmtId="0" fontId="1" fillId="0" borderId="0" xfId="358" applyNumberFormat="1" applyFont="1" applyAlignment="1" applyProtection="1">
      <protection locked="0"/>
    </xf>
    <xf numFmtId="37" fontId="1" fillId="0" borderId="0" xfId="358" applyNumberFormat="1" applyFont="1" applyAlignment="1" applyProtection="1">
      <protection locked="0"/>
    </xf>
    <xf numFmtId="3" fontId="1" fillId="0" borderId="0" xfId="358" applyNumberFormat="1" applyAlignment="1" applyProtection="1">
      <alignment horizontal="right"/>
      <protection locked="0"/>
    </xf>
    <xf numFmtId="0" fontId="1" fillId="0" borderId="0" xfId="358" applyNumberFormat="1" applyAlignment="1" applyProtection="1">
      <alignment horizontal="center"/>
      <protection locked="0"/>
    </xf>
    <xf numFmtId="4" fontId="1" fillId="0" borderId="0" xfId="353" applyFont="1" applyAlignment="1">
      <alignment horizontal="center"/>
    </xf>
    <xf numFmtId="0" fontId="52" fillId="0" borderId="0" xfId="353" applyNumberFormat="1" applyFont="1" applyAlignment="1">
      <alignment horizontal="left" wrapText="1"/>
    </xf>
    <xf numFmtId="3" fontId="1" fillId="0" borderId="0" xfId="354" applyNumberFormat="1" applyFont="1" applyAlignment="1"/>
    <xf numFmtId="4" fontId="45" fillId="0" borderId="0" xfId="354" applyFont="1" applyAlignment="1"/>
    <xf numFmtId="4" fontId="1" fillId="0" borderId="0" xfId="354" applyFont="1" applyAlignment="1"/>
    <xf numFmtId="3" fontId="1" fillId="0" borderId="0" xfId="353" applyNumberFormat="1" applyFont="1" applyAlignment="1">
      <alignment horizontal="center"/>
    </xf>
    <xf numFmtId="170" fontId="1" fillId="0" borderId="0" xfId="354" applyNumberFormat="1" applyFont="1" applyAlignment="1" applyProtection="1">
      <protection locked="0"/>
    </xf>
    <xf numFmtId="3" fontId="1" fillId="0" borderId="0" xfId="353" applyNumberFormat="1" applyProtection="1">
      <protection locked="0"/>
    </xf>
    <xf numFmtId="3" fontId="1" fillId="0" borderId="0" xfId="353" applyNumberFormat="1" applyFont="1" applyProtection="1">
      <protection locked="0"/>
    </xf>
    <xf numFmtId="4" fontId="0" fillId="0" borderId="0" xfId="353" applyFont="1" applyAlignment="1" applyProtection="1">
      <alignment horizontal="left" indent="1"/>
      <protection locked="0"/>
    </xf>
    <xf numFmtId="3" fontId="1" fillId="0" borderId="0" xfId="353" applyNumberFormat="1" applyAlignment="1" applyProtection="1">
      <alignment horizontal="right"/>
      <protection locked="0"/>
    </xf>
    <xf numFmtId="4" fontId="1" fillId="0" borderId="0" xfId="353" applyFont="1" applyAlignment="1" applyProtection="1">
      <alignment horizontal="left" indent="1"/>
      <protection locked="0"/>
    </xf>
    <xf numFmtId="4" fontId="1" fillId="0" borderId="0" xfId="353" applyNumberFormat="1"/>
    <xf numFmtId="4" fontId="1" fillId="0" borderId="0" xfId="353" applyFont="1" applyAlignment="1">
      <alignment horizontal="left" vertical="top" wrapText="1" indent="1"/>
    </xf>
    <xf numFmtId="4" fontId="1" fillId="0" borderId="0" xfId="353" applyAlignment="1">
      <alignment horizontal="left" vertical="top" wrapText="1" indent="1"/>
    </xf>
    <xf numFmtId="4" fontId="1" fillId="0" borderId="0" xfId="353" applyAlignment="1" applyProtection="1">
      <alignment horizontal="right"/>
      <protection locked="0"/>
    </xf>
    <xf numFmtId="0" fontId="1" fillId="0" borderId="0" xfId="353" applyNumberFormat="1" applyFont="1" applyBorder="1" applyAlignment="1" applyProtection="1">
      <protection locked="0"/>
    </xf>
    <xf numFmtId="3" fontId="1" fillId="0" borderId="0" xfId="353" applyNumberFormat="1" applyFont="1" applyBorder="1" applyAlignment="1" applyProtection="1">
      <protection locked="0"/>
    </xf>
    <xf numFmtId="49" fontId="1" fillId="0" borderId="0" xfId="360" applyNumberFormat="1" applyFont="1" applyAlignment="1" applyProtection="1">
      <alignment horizontal="left" indent="1"/>
      <protection locked="0"/>
    </xf>
    <xf numFmtId="49" fontId="1" fillId="0" borderId="0" xfId="360" applyNumberFormat="1" applyFont="1" applyAlignment="1" applyProtection="1">
      <alignment horizontal="left" wrapText="1"/>
      <protection locked="0"/>
    </xf>
    <xf numFmtId="3" fontId="1" fillId="0" borderId="0" xfId="360" applyNumberFormat="1" applyFont="1" applyBorder="1" applyAlignment="1" applyProtection="1">
      <protection locked="0"/>
    </xf>
    <xf numFmtId="6" fontId="1" fillId="0" borderId="0" xfId="353" applyNumberFormat="1" applyFill="1" applyAlignment="1">
      <alignment horizontal="right"/>
    </xf>
    <xf numFmtId="6" fontId="1" fillId="0" borderId="0" xfId="353" applyNumberFormat="1" applyAlignment="1">
      <alignment horizontal="right"/>
    </xf>
    <xf numFmtId="6" fontId="1" fillId="0" borderId="0" xfId="353" applyNumberFormat="1" applyFont="1" applyBorder="1" applyAlignment="1" applyProtection="1">
      <protection locked="0"/>
    </xf>
    <xf numFmtId="8" fontId="1" fillId="0" borderId="0" xfId="353" applyNumberFormat="1" applyFill="1" applyAlignment="1">
      <alignment horizontal="right"/>
    </xf>
    <xf numFmtId="8" fontId="1" fillId="0" borderId="0" xfId="353" applyNumberFormat="1" applyAlignment="1">
      <alignment horizontal="right"/>
    </xf>
    <xf numFmtId="8" fontId="1" fillId="0" borderId="0" xfId="353" applyNumberFormat="1" applyFont="1" applyBorder="1" applyAlignment="1" applyProtection="1">
      <protection locked="0"/>
    </xf>
    <xf numFmtId="7" fontId="1" fillId="0" borderId="0" xfId="353" applyNumberFormat="1" applyFont="1" applyBorder="1" applyAlignment="1" applyProtection="1">
      <protection locked="0"/>
    </xf>
    <xf numFmtId="49" fontId="47" fillId="0" borderId="0" xfId="353" applyNumberFormat="1" applyFont="1" applyAlignment="1">
      <alignment horizontal="left"/>
    </xf>
    <xf numFmtId="0" fontId="1" fillId="0" borderId="0" xfId="360" applyNumberFormat="1" applyFont="1" applyBorder="1" applyAlignment="1" applyProtection="1">
      <protection locked="0"/>
    </xf>
    <xf numFmtId="174" fontId="1" fillId="0" borderId="0" xfId="360" applyNumberFormat="1" applyFont="1" applyAlignment="1" applyProtection="1">
      <alignment horizontal="left" wrapText="1"/>
      <protection locked="0"/>
    </xf>
    <xf numFmtId="174" fontId="1" fillId="0" borderId="0" xfId="353" applyNumberFormat="1" applyFont="1" applyAlignment="1" applyProtection="1">
      <alignment horizontal="left" wrapText="1"/>
      <protection locked="0"/>
    </xf>
    <xf numFmtId="49" fontId="1" fillId="0" borderId="0" xfId="353" applyNumberFormat="1" applyFont="1" applyAlignment="1">
      <alignment horizontal="left" indent="1"/>
    </xf>
    <xf numFmtId="169" fontId="1" fillId="0" borderId="0" xfId="353" applyNumberFormat="1" applyFill="1" applyAlignment="1">
      <alignment horizontal="right"/>
    </xf>
    <xf numFmtId="169" fontId="1" fillId="0" borderId="0" xfId="353" applyNumberFormat="1" applyAlignment="1">
      <alignment horizontal="right"/>
    </xf>
    <xf numFmtId="169" fontId="1" fillId="0" borderId="0" xfId="353" applyNumberFormat="1" applyFont="1" applyBorder="1" applyAlignment="1" applyProtection="1">
      <protection locked="0"/>
    </xf>
    <xf numFmtId="173" fontId="1" fillId="0" borderId="0" xfId="353" applyNumberFormat="1" applyFill="1" applyAlignment="1">
      <alignment horizontal="right"/>
    </xf>
    <xf numFmtId="173" fontId="1" fillId="0" borderId="0" xfId="353" applyNumberFormat="1" applyAlignment="1">
      <alignment horizontal="right"/>
    </xf>
    <xf numFmtId="173" fontId="1" fillId="0" borderId="0" xfId="353" applyNumberFormat="1" applyFont="1" applyBorder="1" applyAlignment="1" applyProtection="1">
      <protection locked="0"/>
    </xf>
    <xf numFmtId="168" fontId="1" fillId="0" borderId="0" xfId="353" applyNumberFormat="1" applyAlignment="1">
      <alignment horizontal="right"/>
    </xf>
    <xf numFmtId="168" fontId="1" fillId="0" borderId="0" xfId="353" applyNumberFormat="1" applyFont="1" applyBorder="1" applyAlignment="1" applyProtection="1">
      <protection locked="0"/>
    </xf>
    <xf numFmtId="38" fontId="1" fillId="0" borderId="0" xfId="360" applyNumberFormat="1" applyFont="1" applyAlignment="1" applyProtection="1">
      <alignment horizontal="left" wrapText="1"/>
      <protection locked="0"/>
    </xf>
    <xf numFmtId="37" fontId="1" fillId="0" borderId="0" xfId="353" applyNumberFormat="1" applyAlignment="1">
      <alignment horizontal="right"/>
    </xf>
    <xf numFmtId="37" fontId="1" fillId="0" borderId="0" xfId="360" applyNumberFormat="1" applyFont="1" applyBorder="1" applyAlignment="1" applyProtection="1">
      <protection locked="0"/>
    </xf>
    <xf numFmtId="38" fontId="1" fillId="0" borderId="0" xfId="353" applyNumberFormat="1" applyFont="1" applyAlignment="1" applyProtection="1">
      <alignment horizontal="left" wrapText="1"/>
      <protection locked="0"/>
    </xf>
    <xf numFmtId="49" fontId="1" fillId="0" borderId="0" xfId="356" applyNumberFormat="1" applyFont="1" applyAlignment="1" applyProtection="1">
      <alignment horizontal="left" indent="2"/>
      <protection locked="0"/>
    </xf>
    <xf numFmtId="49" fontId="1" fillId="0" borderId="0" xfId="356" applyNumberFormat="1" applyFont="1" applyAlignment="1" applyProtection="1">
      <alignment horizontal="left" indent="3"/>
      <protection locked="0"/>
    </xf>
    <xf numFmtId="37" fontId="1" fillId="0" borderId="0" xfId="353" applyNumberFormat="1" applyFont="1" applyBorder="1" applyAlignment="1" applyProtection="1">
      <protection locked="0"/>
    </xf>
    <xf numFmtId="37" fontId="1" fillId="0" borderId="0" xfId="361" applyNumberFormat="1" applyFill="1" applyAlignment="1">
      <alignment horizontal="right"/>
    </xf>
    <xf numFmtId="3" fontId="1" fillId="0" borderId="0" xfId="361" applyNumberFormat="1" applyFill="1" applyAlignment="1">
      <alignment horizontal="right"/>
    </xf>
    <xf numFmtId="0" fontId="1" fillId="0" borderId="0" xfId="353" applyNumberFormat="1" applyFont="1" applyFill="1" applyAlignment="1">
      <alignment horizontal="right"/>
    </xf>
    <xf numFmtId="175" fontId="1" fillId="0" borderId="0" xfId="353" applyNumberFormat="1" applyAlignment="1">
      <alignment horizontal="right"/>
    </xf>
    <xf numFmtId="0" fontId="1" fillId="0" borderId="0" xfId="361" applyNumberFormat="1" applyFill="1" applyAlignment="1">
      <alignment horizontal="right"/>
    </xf>
    <xf numFmtId="168" fontId="0" fillId="0" borderId="0" xfId="353" applyNumberFormat="1" applyFont="1" applyAlignment="1">
      <alignment horizontal="right"/>
    </xf>
    <xf numFmtId="0" fontId="0" fillId="0" borderId="0" xfId="353" quotePrefix="1" applyNumberFormat="1" applyFont="1" applyAlignment="1">
      <alignment horizontal="center"/>
    </xf>
    <xf numFmtId="0" fontId="1" fillId="0" borderId="0" xfId="349" applyFont="1" applyAlignment="1">
      <alignment horizontal="left" vertical="top" wrapText="1"/>
    </xf>
    <xf numFmtId="4" fontId="1" fillId="0" borderId="0" xfId="353" applyFont="1"/>
    <xf numFmtId="3" fontId="1" fillId="0" borderId="0" xfId="356" applyNumberFormat="1" applyFont="1" applyFill="1" applyAlignment="1" applyProtection="1">
      <alignment horizontal="center"/>
      <protection locked="0"/>
    </xf>
    <xf numFmtId="4" fontId="1" fillId="0" borderId="0" xfId="360" applyFont="1" applyFill="1" applyAlignment="1" applyProtection="1">
      <alignment horizontal="center"/>
      <protection locked="0"/>
    </xf>
    <xf numFmtId="1" fontId="1" fillId="0" borderId="0" xfId="353" applyNumberFormat="1" applyFont="1" applyFill="1" applyAlignment="1" applyProtection="1">
      <alignment horizontal="center"/>
      <protection locked="0"/>
    </xf>
    <xf numFmtId="1" fontId="1" fillId="0" borderId="0" xfId="354" applyNumberFormat="1" applyFont="1" applyAlignment="1" applyProtection="1">
      <protection locked="0"/>
    </xf>
    <xf numFmtId="3" fontId="1" fillId="0" borderId="0" xfId="360" applyNumberFormat="1" applyFont="1" applyFill="1" applyAlignment="1" applyProtection="1">
      <alignment horizontal="center"/>
      <protection locked="0"/>
    </xf>
    <xf numFmtId="4" fontId="49" fillId="0" borderId="0" xfId="353" applyFont="1" applyFill="1" applyAlignment="1" applyProtection="1">
      <alignment horizontal="center"/>
      <protection locked="0"/>
    </xf>
    <xf numFmtId="3" fontId="1" fillId="0" borderId="0" xfId="8" applyNumberFormat="1" applyFont="1" applyFill="1" applyAlignment="1" applyProtection="1">
      <alignment horizontal="center"/>
      <protection locked="0"/>
    </xf>
    <xf numFmtId="170" fontId="1" fillId="0" borderId="0" xfId="353" applyNumberFormat="1" applyFont="1" applyFill="1" applyAlignment="1" applyProtection="1">
      <alignment horizontal="center"/>
      <protection locked="0"/>
    </xf>
    <xf numFmtId="170" fontId="1" fillId="0" borderId="0" xfId="5" applyNumberFormat="1" applyFont="1" applyBorder="1" applyAlignment="1" applyProtection="1">
      <protection locked="0"/>
    </xf>
    <xf numFmtId="170" fontId="1" fillId="0" borderId="0" xfId="354" applyNumberFormat="1" applyFont="1" applyBorder="1" applyAlignment="1" applyProtection="1">
      <protection locked="0"/>
    </xf>
    <xf numFmtId="170" fontId="1" fillId="0" borderId="0" xfId="354" applyNumberFormat="1" applyFont="1" applyBorder="1" applyAlignment="1" applyProtection="1">
      <alignment horizontal="right"/>
      <protection locked="0"/>
    </xf>
    <xf numFmtId="0" fontId="1" fillId="0" borderId="0" xfId="353" applyNumberFormat="1" applyFill="1" applyAlignment="1" applyProtection="1">
      <alignment horizontal="center"/>
      <protection locked="0"/>
    </xf>
    <xf numFmtId="3" fontId="1" fillId="0" borderId="0" xfId="353" applyNumberFormat="1" applyFill="1" applyProtection="1">
      <protection locked="0"/>
    </xf>
    <xf numFmtId="0" fontId="1" fillId="0" borderId="0" xfId="354" applyNumberFormat="1" applyFont="1" applyAlignment="1" applyProtection="1">
      <protection locked="0"/>
    </xf>
    <xf numFmtId="3" fontId="1" fillId="0" borderId="0" xfId="353" applyNumberFormat="1" applyFill="1" applyAlignment="1" applyProtection="1">
      <alignment horizontal="center"/>
      <protection locked="0"/>
    </xf>
    <xf numFmtId="3" fontId="1" fillId="0" borderId="0" xfId="354" applyNumberFormat="1" applyFont="1" applyBorder="1" applyAlignment="1" applyProtection="1">
      <protection locked="0"/>
    </xf>
    <xf numFmtId="4" fontId="1" fillId="0" borderId="0" xfId="354" applyNumberFormat="1" applyFont="1" applyAlignment="1" applyProtection="1">
      <protection locked="0"/>
    </xf>
    <xf numFmtId="1" fontId="1" fillId="0" borderId="0" xfId="353" applyNumberFormat="1" applyFill="1" applyAlignment="1">
      <alignment horizontal="center"/>
    </xf>
    <xf numFmtId="170" fontId="1" fillId="0" borderId="0" xfId="353" applyNumberFormat="1" applyFont="1" applyFill="1" applyAlignment="1" applyProtection="1">
      <alignment horizontal="right"/>
      <protection locked="0"/>
    </xf>
    <xf numFmtId="3" fontId="1" fillId="0" borderId="0" xfId="354" applyNumberFormat="1" applyFont="1" applyFill="1" applyAlignment="1" applyProtection="1">
      <alignment horizontal="right"/>
      <protection locked="0"/>
    </xf>
    <xf numFmtId="3" fontId="1" fillId="0" borderId="0" xfId="353" applyNumberFormat="1" applyFont="1" applyBorder="1" applyAlignment="1" applyProtection="1">
      <alignment horizontal="right"/>
      <protection locked="0"/>
    </xf>
    <xf numFmtId="170" fontId="1" fillId="0" borderId="0" xfId="354" applyNumberFormat="1" applyFont="1" applyFill="1" applyAlignment="1" applyProtection="1">
      <alignment horizontal="right"/>
      <protection locked="0"/>
    </xf>
    <xf numFmtId="3" fontId="47" fillId="0" borderId="0" xfId="354" applyNumberFormat="1" applyFont="1" applyFill="1" applyAlignment="1" applyProtection="1">
      <alignment horizontal="right"/>
      <protection locked="0"/>
    </xf>
    <xf numFmtId="169" fontId="1" fillId="0" borderId="0" xfId="354" applyNumberFormat="1" applyFont="1" applyFill="1" applyAlignment="1" applyProtection="1">
      <alignment horizontal="right"/>
      <protection locked="0"/>
    </xf>
    <xf numFmtId="9" fontId="1" fillId="0" borderId="0" xfId="5" applyFont="1" applyAlignment="1" applyProtection="1">
      <alignment horizontal="left" wrapText="1"/>
      <protection locked="0"/>
    </xf>
    <xf numFmtId="170" fontId="1" fillId="0" borderId="0" xfId="39" applyNumberFormat="1" applyFont="1" applyFill="1" applyAlignment="1" applyProtection="1">
      <alignment horizontal="right"/>
      <protection locked="0"/>
    </xf>
    <xf numFmtId="9" fontId="1" fillId="0" borderId="0" xfId="5" applyFont="1" applyAlignment="1" applyProtection="1">
      <alignment horizontal="right"/>
      <protection locked="0"/>
    </xf>
    <xf numFmtId="170" fontId="1" fillId="0" borderId="0" xfId="5" applyNumberFormat="1" applyFont="1" applyAlignment="1" applyProtection="1">
      <alignment horizontal="right"/>
      <protection locked="0"/>
    </xf>
    <xf numFmtId="10" fontId="1" fillId="0" borderId="0" xfId="5" applyNumberFormat="1" applyFont="1" applyAlignment="1" applyProtection="1">
      <alignment horizontal="center"/>
      <protection locked="0"/>
    </xf>
    <xf numFmtId="4" fontId="47" fillId="0" borderId="0" xfId="353" applyFont="1" applyFill="1" applyAlignment="1" applyProtection="1">
      <alignment horizontal="right"/>
      <protection locked="0"/>
    </xf>
    <xf numFmtId="168" fontId="47" fillId="0" borderId="0" xfId="353" applyNumberFormat="1" applyFont="1" applyAlignment="1" applyProtection="1">
      <alignment horizontal="center"/>
      <protection locked="0"/>
    </xf>
    <xf numFmtId="4" fontId="1" fillId="0" borderId="0" xfId="353" applyFont="1" applyBorder="1" applyAlignment="1" applyProtection="1">
      <alignment horizontal="center"/>
      <protection locked="0"/>
    </xf>
    <xf numFmtId="49" fontId="47" fillId="0" borderId="0" xfId="360" applyNumberFormat="1" applyFont="1" applyAlignment="1" applyProtection="1">
      <alignment horizontal="left"/>
      <protection locked="0"/>
    </xf>
    <xf numFmtId="49" fontId="47" fillId="0" borderId="0" xfId="360" applyNumberFormat="1" applyFont="1" applyAlignment="1" applyProtection="1">
      <alignment horizontal="left" wrapText="1"/>
      <protection locked="0"/>
    </xf>
    <xf numFmtId="3" fontId="1" fillId="0" borderId="0" xfId="361" applyNumberFormat="1" applyFont="1" applyAlignment="1" applyProtection="1">
      <alignment horizontal="right"/>
      <protection locked="0"/>
    </xf>
    <xf numFmtId="49" fontId="1" fillId="0" borderId="0" xfId="360" applyNumberFormat="1" applyFont="1" applyAlignment="1" applyProtection="1">
      <alignment horizontal="left" indent="2"/>
      <protection locked="0"/>
    </xf>
    <xf numFmtId="3" fontId="1" fillId="0" borderId="0" xfId="360" applyNumberFormat="1" applyFont="1" applyAlignment="1" applyProtection="1">
      <alignment horizontal="left" indent="2"/>
      <protection locked="0"/>
    </xf>
    <xf numFmtId="3" fontId="1" fillId="0" borderId="0" xfId="360" applyNumberFormat="1" applyFont="1" applyAlignment="1" applyProtection="1">
      <alignment horizontal="left" wrapText="1"/>
      <protection locked="0"/>
    </xf>
    <xf numFmtId="49" fontId="47" fillId="0" borderId="0" xfId="353" applyNumberFormat="1" applyFont="1" applyAlignment="1" applyProtection="1">
      <protection locked="0"/>
    </xf>
    <xf numFmtId="3" fontId="47" fillId="0" borderId="0" xfId="358" applyNumberFormat="1" applyFont="1" applyAlignment="1" applyProtection="1">
      <alignment horizontal="right"/>
      <protection locked="0"/>
    </xf>
    <xf numFmtId="0" fontId="47" fillId="0" borderId="0" xfId="2" applyFont="1" applyAlignment="1"/>
    <xf numFmtId="3" fontId="1" fillId="0" borderId="0" xfId="360" applyNumberFormat="1" applyFont="1" applyAlignment="1" applyProtection="1">
      <alignment horizontal="right"/>
      <protection locked="0"/>
    </xf>
    <xf numFmtId="170" fontId="1" fillId="0" borderId="0" xfId="354" applyNumberFormat="1" applyFont="1" applyAlignment="1" applyProtection="1">
      <alignment horizontal="right"/>
      <protection locked="0"/>
    </xf>
    <xf numFmtId="3" fontId="47" fillId="0" borderId="0" xfId="353" applyNumberFormat="1" applyFont="1" applyAlignment="1" applyProtection="1">
      <protection locked="0"/>
    </xf>
    <xf numFmtId="4" fontId="1" fillId="0" borderId="0" xfId="353" applyNumberFormat="1" applyFont="1" applyAlignment="1" applyProtection="1">
      <protection locked="0"/>
    </xf>
    <xf numFmtId="176" fontId="1" fillId="0" borderId="0" xfId="353" applyNumberFormat="1" applyFont="1" applyAlignment="1" applyProtection="1">
      <protection locked="0"/>
    </xf>
    <xf numFmtId="176" fontId="1" fillId="0" borderId="0" xfId="353" applyNumberFormat="1" applyFont="1" applyAlignment="1" applyProtection="1">
      <alignment horizontal="right"/>
      <protection locked="0"/>
    </xf>
    <xf numFmtId="49" fontId="47" fillId="0" borderId="0" xfId="360" applyNumberFormat="1" applyFont="1" applyFill="1" applyAlignment="1" applyProtection="1">
      <alignment horizontal="left"/>
      <protection locked="0"/>
    </xf>
    <xf numFmtId="49" fontId="1" fillId="0" borderId="0" xfId="360" applyNumberFormat="1" applyFont="1" applyFill="1" applyAlignment="1" applyProtection="1">
      <alignment horizontal="left" indent="1"/>
      <protection locked="0"/>
    </xf>
    <xf numFmtId="49" fontId="1" fillId="0" borderId="0" xfId="360" applyNumberFormat="1" applyFont="1" applyFill="1" applyAlignment="1" applyProtection="1">
      <alignment horizontal="left" indent="2"/>
      <protection locked="0"/>
    </xf>
    <xf numFmtId="49" fontId="1" fillId="0" borderId="0" xfId="353" applyNumberFormat="1" applyFont="1" applyAlignment="1" applyProtection="1">
      <alignment horizontal="left" wrapText="1" indent="1"/>
      <protection locked="0"/>
    </xf>
    <xf numFmtId="3" fontId="1" fillId="0" borderId="0" xfId="92" applyNumberFormat="1" applyFont="1" applyFill="1" applyAlignment="1" applyProtection="1">
      <alignment horizontal="right"/>
      <protection locked="0"/>
    </xf>
    <xf numFmtId="4" fontId="1" fillId="0" borderId="0" xfId="359" applyFont="1" applyFill="1" applyAlignment="1" applyProtection="1">
      <protection locked="0"/>
    </xf>
    <xf numFmtId="3" fontId="1" fillId="0" borderId="0" xfId="359" applyNumberFormat="1" applyFont="1" applyFill="1" applyAlignment="1" applyProtection="1">
      <protection locked="0"/>
    </xf>
    <xf numFmtId="9" fontId="1" fillId="0" borderId="0" xfId="5" applyNumberFormat="1" applyFont="1" applyFill="1" applyAlignment="1" applyProtection="1">
      <protection locked="0"/>
    </xf>
    <xf numFmtId="9" fontId="1" fillId="0" borderId="0" xfId="5" applyFont="1" applyFill="1" applyAlignment="1" applyProtection="1">
      <protection locked="0"/>
    </xf>
    <xf numFmtId="3" fontId="1" fillId="0" borderId="0" xfId="92" applyNumberFormat="1" applyFont="1" applyFill="1" applyAlignment="1" applyProtection="1">
      <protection locked="0"/>
    </xf>
    <xf numFmtId="168" fontId="1" fillId="0" borderId="0" xfId="92" applyNumberFormat="1" applyFont="1" applyFill="1" applyAlignment="1" applyProtection="1">
      <protection locked="0"/>
    </xf>
    <xf numFmtId="41" fontId="1" fillId="0" borderId="0" xfId="92" applyNumberFormat="1" applyFont="1" applyFill="1" applyAlignment="1" applyProtection="1">
      <protection locked="0"/>
    </xf>
    <xf numFmtId="41" fontId="47" fillId="0" borderId="0" xfId="353" applyNumberFormat="1" applyFont="1" applyFill="1" applyAlignment="1" applyProtection="1">
      <alignment horizontal="center"/>
      <protection locked="0"/>
    </xf>
    <xf numFmtId="168" fontId="1" fillId="0" borderId="0" xfId="353" applyNumberFormat="1" applyFont="1" applyFill="1" applyAlignment="1" applyProtection="1">
      <alignment horizontal="center"/>
      <protection locked="0"/>
    </xf>
    <xf numFmtId="3" fontId="1" fillId="0" borderId="0" xfId="353" applyNumberFormat="1" applyAlignment="1">
      <alignment horizontal="center"/>
    </xf>
    <xf numFmtId="4" fontId="1" fillId="0" borderId="0" xfId="360" applyFont="1" applyAlignment="1" applyProtection="1">
      <protection locked="0"/>
    </xf>
    <xf numFmtId="3" fontId="1" fillId="0" borderId="0" xfId="360" applyNumberFormat="1" applyFont="1" applyFill="1" applyAlignment="1" applyProtection="1">
      <alignment horizontal="right"/>
      <protection locked="0"/>
    </xf>
    <xf numFmtId="4" fontId="1" fillId="0" borderId="0" xfId="356" applyNumberFormat="1" applyFont="1" applyAlignment="1" applyProtection="1">
      <alignment horizontal="right"/>
      <protection locked="0"/>
    </xf>
    <xf numFmtId="4" fontId="1" fillId="0" borderId="0" xfId="360" applyNumberFormat="1" applyFont="1" applyFill="1" applyAlignment="1" applyProtection="1">
      <alignment horizontal="right"/>
      <protection locked="0"/>
    </xf>
    <xf numFmtId="170" fontId="1" fillId="0" borderId="0" xfId="356" applyNumberFormat="1" applyFont="1" applyAlignment="1" applyProtection="1">
      <alignment horizontal="right"/>
      <protection locked="0"/>
    </xf>
    <xf numFmtId="170" fontId="1" fillId="0" borderId="0" xfId="360" applyNumberFormat="1" applyFont="1" applyAlignment="1" applyProtection="1">
      <protection locked="0"/>
    </xf>
    <xf numFmtId="170" fontId="1" fillId="0" borderId="0" xfId="353" applyNumberFormat="1" applyFont="1" applyAlignment="1" applyProtection="1">
      <protection locked="0"/>
    </xf>
    <xf numFmtId="170" fontId="1" fillId="0" borderId="0" xfId="360" applyNumberFormat="1" applyFont="1" applyFill="1" applyAlignment="1" applyProtection="1">
      <alignment horizontal="right"/>
      <protection locked="0"/>
    </xf>
    <xf numFmtId="4" fontId="1" fillId="0" borderId="0" xfId="360" applyFont="1" applyAlignment="1" applyProtection="1">
      <alignment horizontal="right"/>
      <protection locked="0"/>
    </xf>
    <xf numFmtId="0" fontId="1" fillId="0" borderId="0" xfId="349" applyFont="1" applyAlignment="1">
      <alignment horizontal="left" indent="1"/>
    </xf>
    <xf numFmtId="0" fontId="41" fillId="0" borderId="0" xfId="349" applyAlignment="1">
      <alignment horizontal="left" indent="2"/>
    </xf>
    <xf numFmtId="4" fontId="47" fillId="0" borderId="0" xfId="360" applyFont="1" applyAlignment="1" applyProtection="1">
      <protection locked="0"/>
    </xf>
    <xf numFmtId="4" fontId="47" fillId="0" borderId="0" xfId="360" applyFont="1" applyAlignment="1" applyProtection="1">
      <alignment horizontal="center"/>
      <protection locked="0"/>
    </xf>
    <xf numFmtId="4" fontId="47" fillId="0" borderId="0" xfId="360" applyFont="1" applyAlignment="1" applyProtection="1">
      <alignment horizontal="right"/>
      <protection locked="0"/>
    </xf>
    <xf numFmtId="3" fontId="1" fillId="0" borderId="0" xfId="361" applyNumberFormat="1" applyFont="1" applyFill="1" applyAlignment="1" applyProtection="1">
      <alignment horizontal="right"/>
      <protection locked="0"/>
    </xf>
    <xf numFmtId="9" fontId="1" fillId="0" borderId="0" xfId="5" applyNumberFormat="1" applyFont="1" applyFill="1" applyAlignment="1" applyProtection="1">
      <alignment horizontal="right"/>
      <protection locked="0"/>
    </xf>
    <xf numFmtId="0" fontId="1" fillId="0" borderId="0" xfId="353" applyNumberFormat="1" applyAlignment="1"/>
    <xf numFmtId="168" fontId="1" fillId="0" borderId="0" xfId="361" applyNumberFormat="1" applyFill="1" applyAlignment="1">
      <alignment horizontal="right"/>
    </xf>
    <xf numFmtId="168" fontId="1" fillId="0" borderId="0" xfId="353" applyNumberFormat="1" applyAlignment="1"/>
    <xf numFmtId="169" fontId="1" fillId="0" borderId="0" xfId="361" applyNumberFormat="1" applyFill="1" applyAlignment="1">
      <alignment horizontal="right"/>
    </xf>
    <xf numFmtId="169" fontId="1" fillId="0" borderId="0" xfId="353" applyNumberFormat="1" applyAlignment="1"/>
    <xf numFmtId="1" fontId="1" fillId="0" borderId="0" xfId="353" applyNumberFormat="1" applyAlignment="1"/>
    <xf numFmtId="0" fontId="47" fillId="0" borderId="0" xfId="2" applyFont="1" applyAlignment="1">
      <alignment horizontal="left" indent="1"/>
    </xf>
    <xf numFmtId="0" fontId="1" fillId="0" borderId="0" xfId="2" applyFont="1" applyAlignment="1">
      <alignment horizontal="left" indent="2"/>
    </xf>
    <xf numFmtId="0" fontId="1" fillId="0" borderId="0" xfId="2" applyFont="1" applyAlignment="1">
      <alignment horizontal="left" indent="3"/>
    </xf>
    <xf numFmtId="176" fontId="1" fillId="0" borderId="0" xfId="361" applyNumberFormat="1" applyFill="1" applyAlignment="1">
      <alignment horizontal="right"/>
    </xf>
    <xf numFmtId="176" fontId="1" fillId="0" borderId="0" xfId="353" applyNumberFormat="1" applyAlignment="1">
      <alignment horizontal="right"/>
    </xf>
    <xf numFmtId="176" fontId="1" fillId="0" borderId="0" xfId="353" applyNumberFormat="1" applyAlignment="1"/>
    <xf numFmtId="0" fontId="1" fillId="0" borderId="0" xfId="353" applyNumberFormat="1" applyFont="1" applyAlignment="1" applyProtection="1">
      <alignment horizontal="center"/>
      <protection locked="0"/>
    </xf>
    <xf numFmtId="3" fontId="1" fillId="0" borderId="0" xfId="353" applyNumberFormat="1" applyFont="1" applyAlignment="1" applyProtection="1">
      <alignment horizontal="left" wrapText="1"/>
      <protection locked="0"/>
    </xf>
    <xf numFmtId="3" fontId="1" fillId="0" borderId="0" xfId="362" applyNumberFormat="1" applyFont="1" applyFill="1" applyAlignment="1" applyProtection="1">
      <alignment horizontal="right"/>
      <protection locked="0"/>
    </xf>
    <xf numFmtId="4" fontId="1" fillId="0" borderId="0" xfId="358" applyFont="1" applyFill="1" applyAlignment="1" applyProtection="1">
      <alignment horizontal="center"/>
      <protection locked="0"/>
    </xf>
    <xf numFmtId="3" fontId="47" fillId="0" borderId="0" xfId="353" applyNumberFormat="1" applyFont="1" applyAlignment="1" applyProtection="1">
      <alignment horizontal="left" wrapText="1"/>
      <protection locked="0"/>
    </xf>
    <xf numFmtId="4" fontId="47" fillId="0" borderId="0" xfId="362" applyFont="1" applyFill="1" applyAlignment="1" applyProtection="1">
      <alignment horizontal="center"/>
      <protection locked="0"/>
    </xf>
    <xf numFmtId="4" fontId="47" fillId="0" borderId="0" xfId="358" applyFont="1" applyFill="1" applyAlignment="1" applyProtection="1">
      <alignment horizontal="center"/>
      <protection locked="0"/>
    </xf>
    <xf numFmtId="4" fontId="1" fillId="0" borderId="0" xfId="359" applyFont="1" applyFill="1" applyAlignment="1" applyProtection="1">
      <alignment horizontal="right"/>
      <protection locked="0"/>
    </xf>
    <xf numFmtId="4" fontId="1" fillId="0" borderId="0" xfId="362" applyFont="1" applyFill="1" applyAlignment="1" applyProtection="1">
      <alignment horizontal="center"/>
      <protection locked="0"/>
    </xf>
    <xf numFmtId="4" fontId="47" fillId="0" borderId="0" xfId="359" applyFont="1" applyFill="1" applyAlignment="1" applyProtection="1">
      <alignment horizontal="right"/>
      <protection locked="0"/>
    </xf>
    <xf numFmtId="3" fontId="1" fillId="0" borderId="0" xfId="2" applyNumberFormat="1" applyAlignment="1">
      <alignment horizontal="right"/>
    </xf>
    <xf numFmtId="49" fontId="1" fillId="0" borderId="0" xfId="361" applyNumberFormat="1" applyFont="1" applyAlignment="1" applyProtection="1">
      <alignment horizontal="left" indent="1"/>
      <protection locked="0"/>
    </xf>
    <xf numFmtId="4" fontId="47" fillId="0" borderId="0" xfId="356" applyFont="1" applyAlignment="1" applyProtection="1">
      <alignment horizontal="center"/>
      <protection locked="0"/>
    </xf>
    <xf numFmtId="168" fontId="1" fillId="0" borderId="0" xfId="92" applyNumberFormat="1" applyFont="1" applyFill="1" applyAlignment="1" applyProtection="1">
      <alignment horizontal="right" indent="1"/>
      <protection locked="0"/>
    </xf>
    <xf numFmtId="168" fontId="1" fillId="0" borderId="0" xfId="356" applyNumberFormat="1" applyFont="1" applyAlignment="1" applyProtection="1">
      <alignment horizontal="right" vertical="center"/>
      <protection locked="0"/>
    </xf>
    <xf numFmtId="168" fontId="1" fillId="0" borderId="0" xfId="92" applyNumberFormat="1" applyFont="1" applyAlignment="1" applyProtection="1">
      <alignment horizontal="right" indent="1"/>
      <protection locked="0"/>
    </xf>
    <xf numFmtId="4" fontId="24" fillId="0" borderId="0" xfId="353" applyFont="1" applyFill="1" applyAlignment="1" applyProtection="1">
      <alignment horizontal="left"/>
      <protection locked="0"/>
    </xf>
    <xf numFmtId="49" fontId="1" fillId="0" borderId="0" xfId="353" applyNumberFormat="1" applyFont="1" applyFill="1" applyAlignment="1" applyProtection="1">
      <alignment horizontal="center" wrapText="1"/>
      <protection locked="0"/>
    </xf>
    <xf numFmtId="168" fontId="47" fillId="0" borderId="0" xfId="92" applyNumberFormat="1" applyFont="1" applyAlignment="1" applyProtection="1">
      <alignment horizontal="right" indent="1"/>
      <protection locked="0"/>
    </xf>
    <xf numFmtId="1" fontId="47" fillId="0" borderId="0" xfId="353" applyNumberFormat="1" applyFont="1" applyAlignment="1" applyProtection="1">
      <alignment horizontal="right" vertical="center"/>
      <protection locked="0"/>
    </xf>
    <xf numFmtId="1" fontId="47" fillId="0" borderId="0" xfId="356" applyNumberFormat="1" applyFont="1" applyAlignment="1" applyProtection="1">
      <alignment horizontal="right" vertical="center"/>
      <protection locked="0"/>
    </xf>
    <xf numFmtId="4" fontId="56" fillId="0" borderId="0" xfId="353" applyFont="1" applyAlignment="1" applyProtection="1">
      <alignment horizontal="left"/>
      <protection locked="0"/>
    </xf>
    <xf numFmtId="49" fontId="1" fillId="0" borderId="0" xfId="353" applyNumberFormat="1" applyFont="1" applyAlignment="1" applyProtection="1">
      <alignment vertical="center"/>
      <protection locked="0"/>
    </xf>
    <xf numFmtId="168" fontId="1" fillId="0" borderId="0" xfId="92" applyNumberFormat="1" applyFont="1" applyFill="1" applyAlignment="1" applyProtection="1">
      <alignment horizontal="right" vertical="center" indent="1"/>
      <protection locked="0"/>
    </xf>
    <xf numFmtId="168" fontId="1" fillId="0" borderId="0" xfId="92" applyNumberFormat="1" applyFont="1" applyFill="1" applyAlignment="1" applyProtection="1">
      <alignment horizontal="right" vertical="center"/>
      <protection locked="0"/>
    </xf>
    <xf numFmtId="168" fontId="1" fillId="0" borderId="0" xfId="92" applyNumberFormat="1" applyFont="1" applyAlignment="1" applyProtection="1">
      <alignment horizontal="right" vertical="center" indent="1"/>
      <protection locked="0"/>
    </xf>
    <xf numFmtId="4" fontId="24" fillId="0" borderId="0" xfId="353" applyFont="1" applyAlignment="1" applyProtection="1">
      <alignment horizontal="left"/>
      <protection locked="0"/>
    </xf>
    <xf numFmtId="49" fontId="1" fillId="0" borderId="0" xfId="353" applyNumberFormat="1" applyFont="1" applyAlignment="1" applyProtection="1">
      <protection locked="0"/>
    </xf>
    <xf numFmtId="168" fontId="48" fillId="0" borderId="0" xfId="92" applyNumberFormat="1" applyFont="1" applyAlignment="1" applyProtection="1">
      <alignment horizontal="right" indent="1"/>
      <protection locked="0"/>
    </xf>
    <xf numFmtId="168" fontId="1" fillId="0" borderId="0" xfId="92" applyNumberFormat="1" applyFont="1" applyAlignment="1" applyProtection="1">
      <alignment horizontal="right" vertical="center"/>
      <protection locked="0"/>
    </xf>
    <xf numFmtId="168" fontId="1" fillId="0" borderId="0" xfId="92" applyNumberFormat="1" applyFont="1" applyAlignment="1" applyProtection="1">
      <alignment horizontal="center" vertical="center"/>
      <protection locked="0"/>
    </xf>
    <xf numFmtId="49" fontId="1" fillId="0" borderId="0" xfId="353" applyNumberFormat="1" applyFont="1" applyAlignment="1" applyProtection="1">
      <alignment horizontal="left" vertical="center" indent="1"/>
      <protection locked="0"/>
    </xf>
    <xf numFmtId="49" fontId="1" fillId="0" borderId="0" xfId="353" applyNumberFormat="1" applyFont="1" applyAlignment="1" applyProtection="1">
      <alignment horizontal="center" vertical="center" wrapText="1"/>
      <protection locked="0"/>
    </xf>
    <xf numFmtId="4" fontId="1" fillId="0" borderId="0" xfId="353" applyFont="1" applyAlignment="1" applyProtection="1">
      <alignment horizontal="center" vertical="center"/>
      <protection locked="0"/>
    </xf>
    <xf numFmtId="168" fontId="1" fillId="0" borderId="0" xfId="353" applyNumberFormat="1" applyFont="1" applyAlignment="1" applyProtection="1">
      <alignment horizontal="center" vertical="center"/>
      <protection locked="0"/>
    </xf>
    <xf numFmtId="177" fontId="1" fillId="0" borderId="0" xfId="92" applyNumberFormat="1" applyFont="1" applyAlignment="1" applyProtection="1">
      <alignment horizontal="right" indent="1"/>
      <protection locked="0"/>
    </xf>
    <xf numFmtId="177" fontId="1" fillId="0" borderId="0" xfId="92" applyNumberFormat="1" applyFont="1" applyAlignment="1" applyProtection="1">
      <alignment horizontal="right" vertical="center"/>
      <protection locked="0"/>
    </xf>
    <xf numFmtId="177" fontId="1" fillId="0" borderId="0" xfId="353" applyNumberFormat="1" applyFont="1" applyAlignment="1" applyProtection="1">
      <alignment horizontal="center"/>
      <protection locked="0"/>
    </xf>
    <xf numFmtId="49" fontId="1" fillId="0" borderId="0" xfId="353" applyNumberFormat="1" applyFont="1" applyFill="1" applyAlignment="1" applyProtection="1">
      <alignment horizontal="left" vertical="center" indent="1"/>
      <protection locked="0"/>
    </xf>
    <xf numFmtId="49" fontId="1" fillId="0" borderId="0" xfId="353" applyNumberFormat="1" applyFont="1" applyFill="1" applyAlignment="1" applyProtection="1">
      <alignment horizontal="center" vertical="center" wrapText="1"/>
      <protection locked="0"/>
    </xf>
    <xf numFmtId="49" fontId="1" fillId="0" borderId="0" xfId="353" applyNumberFormat="1" applyFont="1" applyFill="1" applyAlignment="1" applyProtection="1">
      <alignment horizontal="right" vertical="center" wrapText="1"/>
      <protection locked="0"/>
    </xf>
    <xf numFmtId="49" fontId="1" fillId="0" borderId="0" xfId="353" applyNumberFormat="1" applyFont="1" applyAlignment="1" applyProtection="1">
      <alignment horizontal="right" vertical="center" wrapText="1"/>
      <protection locked="0"/>
    </xf>
    <xf numFmtId="4" fontId="57" fillId="0" borderId="0" xfId="353" applyFont="1" applyAlignment="1" applyProtection="1">
      <alignment horizontal="left"/>
      <protection locked="0"/>
    </xf>
    <xf numFmtId="49" fontId="1" fillId="0" borderId="0" xfId="353" applyNumberFormat="1" applyFont="1" applyFill="1" applyAlignment="1" applyProtection="1">
      <protection locked="0"/>
    </xf>
    <xf numFmtId="168" fontId="1" fillId="0" borderId="0" xfId="92" applyNumberFormat="1" applyFont="1" applyFill="1" applyAlignment="1" applyProtection="1">
      <alignment horizontal="right" vertical="top" indent="1"/>
      <protection locked="0"/>
    </xf>
    <xf numFmtId="4" fontId="47" fillId="0" borderId="0" xfId="353" applyFont="1" applyAlignment="1" applyProtection="1">
      <alignment horizontal="right" vertical="center"/>
      <protection locked="0"/>
    </xf>
    <xf numFmtId="3" fontId="1" fillId="0" borderId="0" xfId="356" applyNumberFormat="1" applyFont="1" applyFill="1" applyAlignment="1" applyProtection="1">
      <alignment horizontal="right" vertical="center"/>
      <protection locked="0"/>
    </xf>
    <xf numFmtId="4" fontId="1" fillId="0" borderId="0" xfId="353" applyFont="1" applyAlignment="1" applyProtection="1">
      <alignment horizontal="right" vertical="center"/>
      <protection locked="0"/>
    </xf>
    <xf numFmtId="3" fontId="1" fillId="0" borderId="0" xfId="92" applyNumberFormat="1" applyFont="1" applyAlignment="1" applyProtection="1">
      <alignment horizontal="right" vertical="center" indent="1"/>
      <protection locked="0"/>
    </xf>
    <xf numFmtId="3" fontId="1" fillId="0" borderId="0" xfId="353" applyNumberFormat="1" applyFont="1" applyBorder="1" applyAlignment="1" applyProtection="1">
      <alignment horizontal="right" vertical="center"/>
      <protection locked="0"/>
    </xf>
    <xf numFmtId="3" fontId="1" fillId="31" borderId="0" xfId="356" applyNumberFormat="1" applyFont="1" applyFill="1" applyBorder="1" applyAlignment="1" applyProtection="1">
      <alignment horizontal="right" vertical="center"/>
      <protection locked="0"/>
    </xf>
    <xf numFmtId="49" fontId="1" fillId="0" borderId="0" xfId="353" applyNumberFormat="1" applyFont="1" applyAlignment="1" applyProtection="1">
      <alignment vertical="center" wrapText="1"/>
      <protection locked="0"/>
    </xf>
    <xf numFmtId="168" fontId="1" fillId="0" borderId="0" xfId="353" applyNumberFormat="1" applyFont="1" applyBorder="1" applyAlignment="1" applyProtection="1">
      <alignment horizontal="right" vertical="center"/>
      <protection locked="0"/>
    </xf>
    <xf numFmtId="168" fontId="1" fillId="31" borderId="0" xfId="356" applyNumberFormat="1" applyFont="1" applyFill="1" applyBorder="1" applyAlignment="1" applyProtection="1">
      <alignment horizontal="right" vertical="center"/>
      <protection locked="0"/>
    </xf>
    <xf numFmtId="49" fontId="1" fillId="0" borderId="0" xfId="353" applyNumberFormat="1" applyFont="1" applyAlignment="1" applyProtection="1">
      <alignment horizontal="left" vertical="center" wrapText="1"/>
      <protection locked="0"/>
    </xf>
    <xf numFmtId="3" fontId="1" fillId="0" borderId="0" xfId="353" applyNumberFormat="1" applyFont="1" applyAlignment="1" applyProtection="1">
      <alignment horizontal="right" vertical="center"/>
      <protection locked="0"/>
    </xf>
    <xf numFmtId="168" fontId="1" fillId="0" borderId="0" xfId="353" applyNumberFormat="1" applyFont="1" applyAlignment="1" applyProtection="1">
      <alignment horizontal="right" vertical="center"/>
      <protection locked="0"/>
    </xf>
    <xf numFmtId="168" fontId="48" fillId="0" borderId="0" xfId="353" applyNumberFormat="1" applyFont="1" applyFill="1" applyAlignment="1" applyProtection="1">
      <alignment horizontal="center"/>
      <protection locked="0"/>
    </xf>
    <xf numFmtId="4" fontId="48" fillId="0" borderId="0" xfId="353" applyFont="1" applyFill="1" applyAlignment="1" applyProtection="1">
      <alignment horizontal="left"/>
      <protection locked="0"/>
    </xf>
    <xf numFmtId="9" fontId="1" fillId="0" borderId="0" xfId="92" applyNumberFormat="1" applyFont="1" applyFill="1" applyAlignment="1" applyProtection="1">
      <protection locked="0"/>
    </xf>
    <xf numFmtId="9" fontId="1" fillId="0" borderId="0" xfId="92" applyNumberFormat="1" applyFont="1" applyFill="1" applyAlignment="1" applyProtection="1">
      <alignment horizontal="right" vertical="center" indent="1"/>
      <protection locked="0"/>
    </xf>
    <xf numFmtId="9" fontId="1" fillId="0" borderId="0" xfId="5" applyFont="1" applyAlignment="1" applyProtection="1">
      <alignment horizontal="right" vertical="center"/>
      <protection locked="0"/>
    </xf>
    <xf numFmtId="9" fontId="1" fillId="0" borderId="0" xfId="356" applyNumberFormat="1" applyFont="1" applyFill="1" applyAlignment="1" applyProtection="1">
      <alignment horizontal="right" vertical="center"/>
      <protection locked="0"/>
    </xf>
    <xf numFmtId="9" fontId="1" fillId="0" borderId="0" xfId="5" applyNumberFormat="1" applyFont="1" applyAlignment="1" applyProtection="1">
      <alignment horizontal="right" vertical="center"/>
      <protection locked="0"/>
    </xf>
    <xf numFmtId="9" fontId="1" fillId="0" borderId="0" xfId="353" applyNumberFormat="1" applyFont="1" applyFill="1" applyAlignment="1" applyProtection="1">
      <alignment horizontal="center"/>
      <protection locked="0"/>
    </xf>
    <xf numFmtId="168" fontId="1" fillId="0" borderId="0" xfId="353" applyNumberFormat="1" applyFont="1" applyAlignment="1" applyProtection="1">
      <protection locked="0"/>
    </xf>
    <xf numFmtId="49" fontId="1" fillId="0" borderId="0" xfId="353" applyNumberFormat="1" applyFont="1" applyFill="1" applyAlignment="1" applyProtection="1">
      <alignment horizontal="left" vertical="center" wrapText="1"/>
      <protection locked="0"/>
    </xf>
    <xf numFmtId="168" fontId="1" fillId="0" borderId="0" xfId="92" applyNumberFormat="1" applyFont="1" applyFill="1" applyAlignment="1" applyProtection="1">
      <alignment horizontal="center" vertical="center"/>
      <protection locked="0"/>
    </xf>
    <xf numFmtId="168" fontId="1" fillId="0" borderId="0" xfId="353" applyNumberFormat="1" applyFont="1" applyFill="1" applyAlignment="1" applyProtection="1">
      <protection locked="0"/>
    </xf>
    <xf numFmtId="9" fontId="1" fillId="0" borderId="0" xfId="92" applyNumberFormat="1" applyFont="1" applyFill="1" applyAlignment="1" applyProtection="1">
      <alignment horizontal="right" indent="1"/>
      <protection locked="0"/>
    </xf>
    <xf numFmtId="9" fontId="1" fillId="0" borderId="0" xfId="7" applyNumberFormat="1" applyFont="1" applyFill="1" applyAlignment="1" applyProtection="1">
      <alignment horizontal="right" vertical="center"/>
      <protection locked="0"/>
    </xf>
    <xf numFmtId="9" fontId="1" fillId="0" borderId="0" xfId="353" applyNumberFormat="1" applyFont="1" applyAlignment="1" applyProtection="1">
      <protection locked="0"/>
    </xf>
    <xf numFmtId="168" fontId="48" fillId="0" borderId="0" xfId="92" applyNumberFormat="1" applyFont="1" applyFill="1" applyAlignment="1" applyProtection="1">
      <alignment horizontal="right" indent="1"/>
      <protection locked="0"/>
    </xf>
    <xf numFmtId="168" fontId="48" fillId="0" borderId="0" xfId="353" applyNumberFormat="1" applyFont="1" applyFill="1" applyAlignment="1" applyProtection="1">
      <protection locked="0"/>
    </xf>
    <xf numFmtId="4" fontId="1" fillId="0" borderId="0" xfId="353" applyFont="1" applyFill="1" applyAlignment="1" applyProtection="1">
      <alignment horizontal="left"/>
      <protection locked="0"/>
    </xf>
    <xf numFmtId="3" fontId="1" fillId="0" borderId="0" xfId="353" applyNumberFormat="1" applyFont="1" applyFill="1" applyAlignment="1" applyProtection="1">
      <alignment horizontal="right" vertical="center"/>
      <protection locked="0"/>
    </xf>
    <xf numFmtId="168" fontId="1" fillId="0" borderId="0" xfId="353" applyNumberFormat="1" applyFont="1" applyFill="1" applyAlignment="1" applyProtection="1">
      <alignment horizontal="right" vertical="center"/>
      <protection locked="0"/>
    </xf>
    <xf numFmtId="49" fontId="58" fillId="0" borderId="0" xfId="353" applyNumberFormat="1" applyFont="1" applyAlignment="1" applyProtection="1">
      <protection locked="0"/>
    </xf>
    <xf numFmtId="9" fontId="1" fillId="0" borderId="0" xfId="5" applyNumberFormat="1" applyFont="1" applyFill="1" applyAlignment="1" applyProtection="1">
      <alignment horizontal="right" vertical="center"/>
      <protection locked="0"/>
    </xf>
    <xf numFmtId="9" fontId="1" fillId="0" borderId="0" xfId="5" applyFont="1" applyFill="1" applyAlignment="1" applyProtection="1">
      <alignment horizontal="right" vertical="center"/>
      <protection locked="0"/>
    </xf>
    <xf numFmtId="4" fontId="48" fillId="0" borderId="0" xfId="353" applyFont="1" applyAlignment="1" applyProtection="1">
      <alignment horizontal="left"/>
      <protection locked="0"/>
    </xf>
    <xf numFmtId="0" fontId="59" fillId="0" borderId="0" xfId="349" applyFont="1" applyAlignment="1">
      <alignment vertical="center"/>
    </xf>
    <xf numFmtId="49" fontId="1" fillId="0" borderId="0" xfId="353" applyNumberFormat="1" applyFont="1" applyFill="1" applyAlignment="1" applyProtection="1">
      <alignment horizontal="left" vertical="center" wrapText="1" indent="1"/>
      <protection locked="0"/>
    </xf>
    <xf numFmtId="168" fontId="47" fillId="0" borderId="0" xfId="92" applyNumberFormat="1" applyFont="1" applyAlignment="1" applyProtection="1">
      <alignment horizontal="right" vertical="center"/>
      <protection locked="0"/>
    </xf>
    <xf numFmtId="1" fontId="1" fillId="0" borderId="0" xfId="356" applyNumberFormat="1" applyFont="1" applyFill="1" applyAlignment="1" applyProtection="1">
      <alignment horizontal="right" vertical="center"/>
      <protection locked="0"/>
    </xf>
    <xf numFmtId="0" fontId="60" fillId="0" borderId="0" xfId="349" applyFont="1" applyFill="1"/>
    <xf numFmtId="49" fontId="47" fillId="0" borderId="0" xfId="355" applyNumberFormat="1" applyFont="1" applyAlignment="1" applyProtection="1">
      <alignment horizontal="left"/>
      <protection locked="0"/>
    </xf>
    <xf numFmtId="49" fontId="47" fillId="0" borderId="0" xfId="355" applyNumberFormat="1" applyFont="1" applyAlignment="1" applyProtection="1">
      <alignment horizontal="left" wrapText="1"/>
      <protection locked="0"/>
    </xf>
    <xf numFmtId="4" fontId="47" fillId="0" borderId="0" xfId="355" applyFont="1" applyAlignment="1" applyProtection="1">
      <alignment horizontal="center"/>
      <protection locked="0"/>
    </xf>
    <xf numFmtId="49" fontId="1" fillId="0" borderId="0" xfId="355" applyNumberFormat="1" applyFont="1" applyFill="1" applyAlignment="1" applyProtection="1">
      <alignment horizontal="left" indent="1"/>
      <protection locked="0"/>
    </xf>
    <xf numFmtId="49" fontId="1" fillId="0" borderId="0" xfId="355" applyNumberFormat="1" applyFont="1" applyFill="1" applyAlignment="1" applyProtection="1">
      <alignment horizontal="left" wrapText="1"/>
      <protection locked="0"/>
    </xf>
    <xf numFmtId="3" fontId="1" fillId="0" borderId="0" xfId="1" applyNumberFormat="1" applyFont="1" applyAlignment="1" applyProtection="1">
      <alignment horizontal="right"/>
      <protection locked="0"/>
    </xf>
    <xf numFmtId="168" fontId="1" fillId="0" borderId="0" xfId="1" applyNumberFormat="1" applyFont="1" applyFill="1" applyBorder="1" applyAlignment="1" applyProtection="1">
      <alignment horizontal="right"/>
      <protection locked="0"/>
    </xf>
    <xf numFmtId="3" fontId="1" fillId="0" borderId="0" xfId="1" applyNumberFormat="1" applyFont="1" applyFill="1" applyBorder="1" applyAlignment="1" applyProtection="1">
      <alignment horizontal="right"/>
      <protection locked="0"/>
    </xf>
    <xf numFmtId="3" fontId="1" fillId="0" borderId="0" xfId="355" applyNumberFormat="1" applyFont="1" applyAlignment="1" applyProtection="1">
      <alignment horizontal="right"/>
      <protection locked="0"/>
    </xf>
    <xf numFmtId="3" fontId="1" fillId="0" borderId="0" xfId="355" applyNumberFormat="1" applyFont="1" applyAlignment="1" applyProtection="1">
      <alignment horizontal="center"/>
      <protection locked="0"/>
    </xf>
    <xf numFmtId="4" fontId="1" fillId="0" borderId="0" xfId="355" applyFont="1" applyAlignment="1" applyProtection="1">
      <alignment horizontal="center"/>
      <protection locked="0"/>
    </xf>
    <xf numFmtId="49" fontId="1" fillId="0" borderId="0" xfId="355" applyNumberFormat="1" applyFont="1" applyFill="1" applyAlignment="1" applyProtection="1">
      <alignment horizontal="left" indent="2"/>
      <protection locked="0"/>
    </xf>
    <xf numFmtId="168" fontId="1" fillId="0" borderId="0" xfId="1" applyNumberFormat="1" applyFont="1" applyAlignment="1" applyProtection="1">
      <alignment horizontal="center"/>
      <protection locked="0"/>
    </xf>
    <xf numFmtId="168" fontId="1" fillId="0" borderId="0" xfId="355" applyNumberFormat="1" applyFont="1" applyAlignment="1" applyProtection="1">
      <alignment horizontal="right"/>
      <protection locked="0"/>
    </xf>
    <xf numFmtId="168" fontId="1" fillId="0" borderId="0" xfId="355" applyNumberFormat="1" applyFont="1" applyAlignment="1" applyProtection="1">
      <alignment horizontal="center"/>
      <protection locked="0"/>
    </xf>
    <xf numFmtId="49" fontId="1" fillId="0" borderId="0" xfId="359" applyNumberFormat="1" applyFont="1" applyFill="1" applyAlignment="1" applyProtection="1">
      <alignment horizontal="left" indent="2"/>
      <protection locked="0"/>
    </xf>
    <xf numFmtId="168" fontId="1" fillId="0" borderId="0" xfId="1" applyNumberFormat="1" applyFont="1" applyFill="1" applyAlignment="1" applyProtection="1">
      <alignment horizontal="center"/>
      <protection locked="0"/>
    </xf>
    <xf numFmtId="168" fontId="1" fillId="0" borderId="0" xfId="1" applyNumberFormat="1" applyFont="1" applyFill="1" applyAlignment="1" applyProtection="1">
      <alignment horizontal="right"/>
      <protection locked="0"/>
    </xf>
    <xf numFmtId="49" fontId="47" fillId="0" borderId="0" xfId="355" applyNumberFormat="1" applyFont="1" applyFill="1" applyAlignment="1" applyProtection="1">
      <alignment horizontal="left"/>
      <protection locked="0"/>
    </xf>
    <xf numFmtId="0" fontId="1" fillId="0" borderId="0" xfId="349" applyFont="1" applyFill="1" applyAlignment="1">
      <alignment horizontal="left" indent="1"/>
    </xf>
    <xf numFmtId="49" fontId="1" fillId="0" borderId="0" xfId="359" applyNumberFormat="1" applyFont="1" applyFill="1" applyAlignment="1" applyProtection="1">
      <alignment horizontal="left" indent="1"/>
      <protection locked="0"/>
    </xf>
    <xf numFmtId="0" fontId="1" fillId="0" borderId="0" xfId="349" applyFont="1" applyFill="1" applyAlignment="1"/>
    <xf numFmtId="168" fontId="1" fillId="0" borderId="0" xfId="1" applyNumberFormat="1" applyFont="1" applyFill="1" applyBorder="1" applyAlignment="1" applyProtection="1">
      <protection locked="0"/>
    </xf>
    <xf numFmtId="49" fontId="1" fillId="0" borderId="0" xfId="355" applyNumberFormat="1" applyFont="1" applyFill="1" applyAlignment="1" applyProtection="1">
      <protection locked="0"/>
    </xf>
    <xf numFmtId="168" fontId="47" fillId="0" borderId="0" xfId="1" applyNumberFormat="1" applyFont="1" applyAlignment="1" applyProtection="1">
      <alignment horizontal="right"/>
      <protection locked="0"/>
    </xf>
    <xf numFmtId="168" fontId="47" fillId="0" borderId="0" xfId="1" applyNumberFormat="1" applyFont="1" applyAlignment="1" applyProtection="1">
      <alignment horizontal="center"/>
      <protection locked="0"/>
    </xf>
    <xf numFmtId="3" fontId="47" fillId="0" borderId="0" xfId="355" applyNumberFormat="1" applyFont="1" applyAlignment="1" applyProtection="1">
      <alignment horizontal="right"/>
      <protection locked="0"/>
    </xf>
    <xf numFmtId="4" fontId="1" fillId="0" borderId="0" xfId="355" applyNumberFormat="1" applyFont="1" applyAlignment="1" applyProtection="1">
      <alignment horizontal="center"/>
      <protection locked="0"/>
    </xf>
    <xf numFmtId="0" fontId="1" fillId="0" borderId="0" xfId="353" applyNumberFormat="1" applyFont="1" applyAlignment="1" applyProtection="1">
      <alignment horizontal="right"/>
      <protection locked="0"/>
    </xf>
    <xf numFmtId="49" fontId="1" fillId="0" borderId="0" xfId="355" applyNumberFormat="1" applyFont="1" applyAlignment="1" applyProtection="1">
      <alignment horizontal="left" indent="1"/>
      <protection locked="0"/>
    </xf>
    <xf numFmtId="49" fontId="1" fillId="0" borderId="0" xfId="355" applyNumberFormat="1" applyFont="1" applyAlignment="1" applyProtection="1">
      <alignment horizontal="left" wrapText="1"/>
      <protection locked="0"/>
    </xf>
    <xf numFmtId="178" fontId="1" fillId="0" borderId="0" xfId="289" applyNumberFormat="1" applyFont="1" applyFill="1" applyAlignment="1" applyProtection="1">
      <alignment horizontal="right"/>
      <protection locked="0"/>
    </xf>
    <xf numFmtId="178" fontId="1" fillId="0" borderId="0" xfId="289" applyNumberFormat="1" applyFont="1" applyAlignment="1" applyProtection="1">
      <alignment horizontal="center"/>
      <protection locked="0"/>
    </xf>
    <xf numFmtId="178" fontId="1" fillId="0" borderId="0" xfId="353" applyNumberFormat="1" applyFont="1" applyAlignment="1" applyProtection="1">
      <alignment horizontal="center"/>
      <protection locked="0"/>
    </xf>
    <xf numFmtId="178" fontId="1" fillId="0" borderId="0" xfId="89" applyNumberFormat="1" applyFont="1" applyAlignment="1" applyProtection="1">
      <alignment horizontal="center"/>
      <protection locked="0"/>
    </xf>
    <xf numFmtId="178" fontId="1" fillId="0" borderId="0" xfId="355" applyNumberFormat="1" applyFont="1" applyAlignment="1" applyProtection="1">
      <alignment horizontal="center"/>
      <protection locked="0"/>
    </xf>
    <xf numFmtId="49" fontId="1" fillId="0" borderId="0" xfId="355" applyNumberFormat="1" applyFont="1" applyAlignment="1" applyProtection="1">
      <alignment horizontal="left" indent="2"/>
      <protection locked="0"/>
    </xf>
    <xf numFmtId="178" fontId="1" fillId="0" borderId="0" xfId="360" applyNumberFormat="1" applyFont="1" applyFill="1" applyAlignment="1" applyProtection="1">
      <alignment horizontal="right"/>
      <protection locked="0"/>
    </xf>
    <xf numFmtId="49" fontId="1" fillId="0" borderId="0" xfId="355" applyNumberFormat="1" applyFont="1" applyAlignment="1" applyProtection="1">
      <alignment horizontal="left"/>
      <protection locked="0"/>
    </xf>
    <xf numFmtId="4" fontId="1" fillId="0" borderId="0" xfId="355" applyFont="1" applyAlignment="1" applyProtection="1">
      <alignment horizontal="right"/>
      <protection locked="0"/>
    </xf>
    <xf numFmtId="4" fontId="47" fillId="0" borderId="0" xfId="355" applyNumberFormat="1" applyFont="1" applyAlignment="1" applyProtection="1">
      <alignment horizontal="center"/>
      <protection locked="0"/>
    </xf>
    <xf numFmtId="49" fontId="47" fillId="0" borderId="0" xfId="355" applyNumberFormat="1" applyFont="1" applyBorder="1" applyAlignment="1" applyProtection="1">
      <alignment horizontal="left"/>
      <protection locked="0"/>
    </xf>
    <xf numFmtId="49" fontId="47" fillId="0" borderId="0" xfId="355" applyNumberFormat="1" applyFont="1" applyBorder="1" applyAlignment="1" applyProtection="1">
      <alignment horizontal="left" wrapText="1"/>
      <protection locked="0"/>
    </xf>
    <xf numFmtId="4" fontId="1" fillId="0" borderId="0" xfId="355" applyProtection="1">
      <protection locked="0"/>
    </xf>
    <xf numFmtId="4" fontId="47" fillId="0" borderId="0" xfId="355" applyFont="1" applyAlignment="1" applyProtection="1">
      <alignment horizontal="left"/>
      <protection locked="0"/>
    </xf>
    <xf numFmtId="4" fontId="47" fillId="0" borderId="0" xfId="355" applyFont="1" applyAlignment="1" applyProtection="1">
      <alignment horizontal="left" wrapText="1"/>
      <protection locked="0"/>
    </xf>
    <xf numFmtId="4" fontId="1" fillId="0" borderId="0" xfId="355" applyNumberFormat="1" applyAlignment="1" applyProtection="1">
      <alignment horizontal="right"/>
      <protection locked="0"/>
    </xf>
    <xf numFmtId="0" fontId="1" fillId="0" borderId="0" xfId="355" applyNumberFormat="1" applyAlignment="1" applyProtection="1">
      <alignment horizontal="center"/>
      <protection locked="0"/>
    </xf>
    <xf numFmtId="4" fontId="1" fillId="0" borderId="0" xfId="355" applyNumberFormat="1" applyAlignment="1" applyProtection="1">
      <protection locked="0"/>
    </xf>
    <xf numFmtId="4" fontId="1" fillId="0" borderId="0" xfId="355" applyFont="1" applyAlignment="1">
      <alignment horizontal="left" vertical="top" wrapText="1" indent="1"/>
    </xf>
    <xf numFmtId="0" fontId="41" fillId="0" borderId="0" xfId="349" applyAlignment="1">
      <alignment horizontal="left" indent="1"/>
    </xf>
    <xf numFmtId="167" fontId="45" fillId="0" borderId="0" xfId="353" applyNumberFormat="1" applyFont="1" applyAlignment="1">
      <alignment horizontal="right"/>
    </xf>
    <xf numFmtId="4" fontId="3" fillId="0" borderId="0" xfId="91" applyNumberFormat="1"/>
    <xf numFmtId="4" fontId="61" fillId="0" borderId="0" xfId="91" applyNumberFormat="1" applyFont="1"/>
    <xf numFmtId="168" fontId="62" fillId="0" borderId="0" xfId="92" applyNumberFormat="1" applyFont="1" applyFill="1" applyAlignment="1" applyProtection="1">
      <alignment horizontal="center"/>
      <protection locked="0"/>
    </xf>
    <xf numFmtId="168" fontId="61" fillId="0" borderId="0" xfId="91" applyNumberFormat="1" applyFont="1"/>
    <xf numFmtId="178" fontId="62" fillId="0" borderId="0" xfId="8" applyNumberFormat="1" applyFont="1" applyFill="1" applyBorder="1"/>
    <xf numFmtId="5" fontId="61" fillId="0" borderId="0" xfId="91" applyNumberFormat="1" applyFont="1"/>
    <xf numFmtId="5" fontId="47" fillId="0" borderId="0" xfId="353" applyNumberFormat="1" applyFont="1" applyAlignment="1" applyProtection="1">
      <alignment horizontal="center"/>
      <protection locked="0"/>
    </xf>
    <xf numFmtId="168" fontId="62" fillId="0" borderId="0" xfId="92" applyNumberFormat="1" applyFont="1" applyFill="1" applyBorder="1" applyAlignment="1" applyProtection="1">
      <alignment horizontal="right"/>
      <protection locked="0"/>
    </xf>
    <xf numFmtId="49" fontId="47" fillId="0" borderId="0" xfId="353" applyNumberFormat="1" applyFont="1" applyAlignment="1" applyProtection="1">
      <alignment horizontal="right" wrapText="1"/>
      <protection locked="0"/>
    </xf>
    <xf numFmtId="168" fontId="47" fillId="0" borderId="0" xfId="353" applyNumberFormat="1" applyFont="1" applyAlignment="1" applyProtection="1">
      <alignment horizontal="right"/>
      <protection locked="0"/>
    </xf>
    <xf numFmtId="5" fontId="1" fillId="0" borderId="0" xfId="353" applyNumberFormat="1" applyFont="1" applyAlignment="1" applyProtection="1">
      <alignment horizontal="right"/>
      <protection locked="0"/>
    </xf>
    <xf numFmtId="5" fontId="47" fillId="0" borderId="0" xfId="353" applyNumberFormat="1" applyFont="1" applyAlignment="1" applyProtection="1">
      <alignment horizontal="right"/>
      <protection locked="0"/>
    </xf>
    <xf numFmtId="49" fontId="1" fillId="0" borderId="0" xfId="363" applyNumberFormat="1" applyFont="1" applyFill="1" applyAlignment="1" applyProtection="1">
      <alignment horizontal="left" indent="2"/>
      <protection locked="0"/>
    </xf>
    <xf numFmtId="49" fontId="47" fillId="0" borderId="0" xfId="363" applyNumberFormat="1" applyFont="1" applyAlignment="1" applyProtection="1">
      <alignment horizontal="right" wrapText="1"/>
      <protection locked="0"/>
    </xf>
    <xf numFmtId="169" fontId="47" fillId="0" borderId="0" xfId="353" applyNumberFormat="1" applyFont="1" applyAlignment="1" applyProtection="1">
      <alignment horizontal="right"/>
      <protection locked="0"/>
    </xf>
    <xf numFmtId="4" fontId="47" fillId="0" borderId="0" xfId="353" applyNumberFormat="1" applyFont="1" applyAlignment="1" applyProtection="1">
      <alignment horizontal="right"/>
      <protection locked="0"/>
    </xf>
    <xf numFmtId="0" fontId="1" fillId="0" borderId="0" xfId="349" applyFont="1" applyAlignment="1">
      <alignment horizontal="left" indent="3"/>
    </xf>
    <xf numFmtId="6" fontId="47" fillId="0" borderId="0" xfId="353" applyNumberFormat="1" applyFont="1" applyAlignment="1" applyProtection="1">
      <alignment horizontal="right"/>
      <protection locked="0"/>
    </xf>
    <xf numFmtId="49" fontId="1" fillId="0" borderId="0" xfId="364" applyNumberFormat="1" applyFont="1" applyAlignment="1" applyProtection="1">
      <alignment horizontal="left" indent="3"/>
      <protection locked="0"/>
    </xf>
    <xf numFmtId="0" fontId="1" fillId="0" borderId="0" xfId="349" applyFont="1" applyFill="1" applyAlignment="1">
      <alignment horizontal="left" indent="2"/>
    </xf>
    <xf numFmtId="49" fontId="47" fillId="0" borderId="0" xfId="353" applyNumberFormat="1" applyFont="1" applyFill="1" applyAlignment="1" applyProtection="1">
      <alignment horizontal="right" wrapText="1"/>
      <protection locked="0"/>
    </xf>
    <xf numFmtId="168" fontId="1" fillId="0" borderId="0" xfId="91" applyNumberFormat="1" applyFont="1" applyFill="1"/>
    <xf numFmtId="168" fontId="47" fillId="0" borderId="0" xfId="353" applyNumberFormat="1" applyFont="1" applyFill="1" applyAlignment="1" applyProtection="1">
      <alignment horizontal="right"/>
      <protection locked="0"/>
    </xf>
    <xf numFmtId="0" fontId="1" fillId="0" borderId="0" xfId="349" applyFont="1" applyFill="1" applyAlignment="1">
      <alignment horizontal="left" indent="3"/>
    </xf>
    <xf numFmtId="168" fontId="1" fillId="0" borderId="0" xfId="353" applyNumberFormat="1" applyFont="1" applyFill="1" applyAlignment="1" applyProtection="1">
      <alignment horizontal="right"/>
      <protection locked="0"/>
    </xf>
    <xf numFmtId="49" fontId="1" fillId="0" borderId="0" xfId="353" applyNumberFormat="1" applyFont="1" applyFill="1" applyAlignment="1" applyProtection="1">
      <alignment horizontal="left" indent="3"/>
      <protection locked="0"/>
    </xf>
    <xf numFmtId="5" fontId="1" fillId="0" borderId="0" xfId="91" applyNumberFormat="1" applyFont="1" applyFill="1"/>
    <xf numFmtId="5" fontId="1" fillId="0" borderId="0" xfId="353" applyNumberFormat="1" applyFont="1" applyFill="1" applyAlignment="1" applyProtection="1">
      <alignment horizontal="right"/>
      <protection locked="0"/>
    </xf>
    <xf numFmtId="5" fontId="47" fillId="0" borderId="0" xfId="353" applyNumberFormat="1" applyFont="1" applyFill="1" applyAlignment="1" applyProtection="1">
      <alignment horizontal="right"/>
      <protection locked="0"/>
    </xf>
    <xf numFmtId="49" fontId="1" fillId="0" borderId="0" xfId="353" applyNumberFormat="1" applyFont="1" applyAlignment="1" applyProtection="1">
      <alignment horizontal="right" wrapText="1"/>
      <protection locked="0"/>
    </xf>
    <xf numFmtId="169" fontId="1" fillId="0" borderId="0" xfId="353" applyNumberFormat="1" applyFont="1" applyBorder="1" applyAlignment="1" applyProtection="1">
      <alignment horizontal="right"/>
      <protection locked="0"/>
    </xf>
    <xf numFmtId="168" fontId="1" fillId="0" borderId="0" xfId="353" applyNumberFormat="1" applyFont="1" applyBorder="1" applyAlignment="1" applyProtection="1">
      <alignment horizontal="right"/>
      <protection locked="0"/>
    </xf>
    <xf numFmtId="178" fontId="41" fillId="0" borderId="0" xfId="349" applyNumberFormat="1" applyAlignment="1">
      <alignment horizontal="right"/>
    </xf>
    <xf numFmtId="168" fontId="41" fillId="0" borderId="0" xfId="349" applyNumberFormat="1" applyAlignment="1">
      <alignment horizontal="right"/>
    </xf>
    <xf numFmtId="5" fontId="41" fillId="0" borderId="0" xfId="349" applyNumberFormat="1" applyAlignment="1">
      <alignment horizontal="right"/>
    </xf>
    <xf numFmtId="169" fontId="6" fillId="0" borderId="0" xfId="349" applyNumberFormat="1" applyFont="1" applyBorder="1" applyAlignment="1">
      <alignment horizontal="right"/>
    </xf>
    <xf numFmtId="6" fontId="1" fillId="0" borderId="0" xfId="353" applyNumberFormat="1" applyFont="1" applyAlignment="1" applyProtection="1">
      <alignment horizontal="right"/>
      <protection locked="0"/>
    </xf>
    <xf numFmtId="168" fontId="3" fillId="0" borderId="0" xfId="91" applyNumberFormat="1" applyBorder="1"/>
    <xf numFmtId="168" fontId="1" fillId="0" borderId="0" xfId="92" applyNumberFormat="1" applyFont="1" applyFill="1" applyAlignment="1" applyProtection="1">
      <alignment horizontal="right"/>
      <protection locked="0"/>
    </xf>
    <xf numFmtId="49" fontId="1" fillId="0" borderId="0" xfId="355" applyNumberFormat="1" applyFont="1" applyAlignment="1" applyProtection="1">
      <alignment horizontal="left" indent="3"/>
      <protection locked="0"/>
    </xf>
    <xf numFmtId="168" fontId="3" fillId="0" borderId="0" xfId="91" applyNumberFormat="1"/>
    <xf numFmtId="3" fontId="61" fillId="0" borderId="0" xfId="91" applyNumberFormat="1" applyFont="1"/>
    <xf numFmtId="49" fontId="47" fillId="0" borderId="0" xfId="355" applyNumberFormat="1" applyFont="1" applyAlignment="1" applyProtection="1">
      <alignment horizontal="left" indent="3"/>
      <protection locked="0"/>
    </xf>
    <xf numFmtId="49" fontId="47" fillId="0" borderId="0" xfId="353" applyNumberFormat="1" applyFont="1" applyFill="1" applyAlignment="1" applyProtection="1">
      <alignment horizontal="left" wrapText="1"/>
      <protection locked="0"/>
    </xf>
    <xf numFmtId="49" fontId="1" fillId="0" borderId="0" xfId="353" applyNumberFormat="1" applyFont="1" applyFill="1" applyAlignment="1" applyProtection="1">
      <alignment horizontal="left"/>
      <protection locked="0"/>
    </xf>
    <xf numFmtId="3" fontId="1" fillId="0" borderId="0" xfId="353" applyNumberFormat="1" applyFont="1" applyAlignment="1">
      <alignment vertical="top"/>
    </xf>
    <xf numFmtId="3" fontId="24" fillId="0" borderId="0" xfId="353" applyNumberFormat="1" applyFont="1" applyAlignment="1" applyProtection="1">
      <protection locked="0"/>
    </xf>
    <xf numFmtId="0" fontId="41" fillId="32" borderId="0" xfId="349" applyFill="1"/>
    <xf numFmtId="0" fontId="41" fillId="0" borderId="0" xfId="349" applyAlignment="1">
      <alignment horizontal="right"/>
    </xf>
    <xf numFmtId="4" fontId="62" fillId="0" borderId="0" xfId="353" quotePrefix="1" applyFont="1" applyFill="1" applyAlignment="1">
      <alignment vertical="top" wrapText="1"/>
    </xf>
    <xf numFmtId="4" fontId="1" fillId="0" borderId="0" xfId="365" applyFont="1" applyAlignment="1">
      <alignment horizontal="left" vertical="top" wrapText="1" indent="1"/>
    </xf>
    <xf numFmtId="4" fontId="41" fillId="0" borderId="0" xfId="349" applyNumberFormat="1" applyAlignment="1">
      <alignment horizontal="right"/>
    </xf>
    <xf numFmtId="4" fontId="45" fillId="0" borderId="0" xfId="353" applyNumberFormat="1" applyFont="1" applyFill="1"/>
    <xf numFmtId="0" fontId="45" fillId="0" borderId="0" xfId="353" applyNumberFormat="1" applyFont="1" applyFill="1" applyAlignment="1">
      <alignment horizontal="right"/>
    </xf>
    <xf numFmtId="166" fontId="45" fillId="0" borderId="0" xfId="353" applyNumberFormat="1" applyFont="1" applyFill="1" applyAlignment="1">
      <alignment horizontal="right"/>
    </xf>
    <xf numFmtId="167" fontId="45" fillId="0" borderId="0" xfId="353" applyNumberFormat="1" applyFont="1" applyFill="1"/>
    <xf numFmtId="0" fontId="46" fillId="0" borderId="0" xfId="353" applyNumberFormat="1" applyFont="1" applyFill="1" applyAlignment="1">
      <alignment horizontal="right"/>
    </xf>
    <xf numFmtId="4" fontId="45" fillId="0" borderId="12" xfId="353" applyNumberFormat="1" applyFont="1" applyFill="1" applyBorder="1" applyAlignment="1">
      <alignment horizontal="center"/>
    </xf>
    <xf numFmtId="4" fontId="45" fillId="0" borderId="14" xfId="353" applyNumberFormat="1" applyFont="1" applyFill="1" applyBorder="1" applyAlignment="1">
      <alignment horizontal="center"/>
    </xf>
    <xf numFmtId="49" fontId="45" fillId="0" borderId="16" xfId="353" applyNumberFormat="1" applyFont="1" applyFill="1" applyBorder="1" applyAlignment="1">
      <alignment horizontal="center"/>
    </xf>
    <xf numFmtId="4" fontId="47" fillId="0" borderId="0" xfId="358" applyFont="1" applyAlignment="1" applyProtection="1">
      <alignment horizontal="right"/>
      <protection locked="0"/>
    </xf>
    <xf numFmtId="1" fontId="1" fillId="0" borderId="0" xfId="358" applyNumberFormat="1" applyFont="1" applyBorder="1" applyAlignment="1" applyProtection="1">
      <protection locked="0"/>
    </xf>
    <xf numFmtId="4" fontId="1" fillId="0" borderId="0" xfId="358" applyFont="1" applyAlignment="1" applyProtection="1">
      <alignment horizontal="center"/>
      <protection locked="0"/>
    </xf>
    <xf numFmtId="49" fontId="47" fillId="0" borderId="0" xfId="353" applyNumberFormat="1" applyFont="1" applyAlignment="1">
      <alignment horizontal="left" indent="1"/>
    </xf>
    <xf numFmtId="1" fontId="1" fillId="0" borderId="0" xfId="358" applyNumberFormat="1" applyFont="1" applyAlignment="1" applyProtection="1">
      <alignment horizontal="right"/>
      <protection locked="0"/>
    </xf>
    <xf numFmtId="1" fontId="1" fillId="0" borderId="0" xfId="359" applyNumberFormat="1" applyFont="1" applyBorder="1" applyAlignment="1" applyProtection="1">
      <alignment horizontal="right"/>
      <protection locked="0"/>
    </xf>
    <xf numFmtId="1" fontId="1" fillId="0" borderId="0" xfId="366" applyNumberFormat="1" applyFont="1" applyBorder="1" applyAlignment="1" applyProtection="1">
      <alignment horizontal="right"/>
      <protection locked="0"/>
    </xf>
    <xf numFmtId="1" fontId="1" fillId="0" borderId="0" xfId="358" applyNumberFormat="1" applyFont="1" applyBorder="1" applyAlignment="1" applyProtection="1">
      <alignment horizontal="right"/>
      <protection locked="0"/>
    </xf>
    <xf numFmtId="1" fontId="1" fillId="0" borderId="0" xfId="358" applyNumberFormat="1" applyFont="1" applyFill="1" applyAlignment="1" applyProtection="1">
      <alignment horizontal="right"/>
      <protection locked="0"/>
    </xf>
    <xf numFmtId="1" fontId="1" fillId="0" borderId="0" xfId="92" applyNumberFormat="1" applyFont="1" applyFill="1" applyAlignment="1" applyProtection="1">
      <alignment horizontal="right"/>
      <protection locked="0"/>
    </xf>
    <xf numFmtId="172" fontId="1" fillId="0" borderId="0" xfId="367" applyNumberFormat="1" applyFont="1" applyFill="1" applyBorder="1" applyAlignment="1" applyProtection="1">
      <alignment horizontal="right"/>
      <protection locked="0"/>
    </xf>
    <xf numFmtId="172" fontId="1" fillId="0" borderId="0" xfId="353" applyNumberFormat="1" applyFont="1" applyAlignment="1" applyProtection="1">
      <alignment horizontal="right"/>
      <protection locked="0"/>
    </xf>
    <xf numFmtId="172" fontId="1" fillId="0" borderId="0" xfId="358" applyNumberFormat="1" applyFont="1" applyBorder="1" applyAlignment="1" applyProtection="1">
      <protection locked="0"/>
    </xf>
    <xf numFmtId="169" fontId="1" fillId="0" borderId="0" xfId="358" applyNumberFormat="1" applyFont="1" applyBorder="1" applyAlignment="1" applyProtection="1">
      <alignment horizontal="right"/>
      <protection locked="0"/>
    </xf>
    <xf numFmtId="169" fontId="1" fillId="0" borderId="0" xfId="358" applyNumberFormat="1" applyFont="1" applyBorder="1" applyAlignment="1" applyProtection="1">
      <protection locked="0"/>
    </xf>
    <xf numFmtId="173" fontId="1" fillId="0" borderId="0" xfId="358" applyNumberFormat="1" applyFont="1" applyBorder="1" applyAlignment="1" applyProtection="1">
      <alignment horizontal="right"/>
      <protection locked="0"/>
    </xf>
    <xf numFmtId="173" fontId="1" fillId="0" borderId="0" xfId="367" applyNumberFormat="1" applyFont="1" applyFill="1" applyBorder="1" applyAlignment="1" applyProtection="1">
      <alignment horizontal="right"/>
      <protection locked="0"/>
    </xf>
    <xf numFmtId="173" fontId="1" fillId="0" borderId="0" xfId="358" applyNumberFormat="1" applyFont="1" applyBorder="1" applyAlignment="1" applyProtection="1">
      <protection locked="0"/>
    </xf>
    <xf numFmtId="4" fontId="45" fillId="0" borderId="0" xfId="358" applyNumberFormat="1" applyFont="1" applyFill="1" applyAlignment="1">
      <alignment horizontal="right"/>
    </xf>
    <xf numFmtId="4" fontId="45" fillId="0" borderId="0" xfId="353" applyFont="1" applyAlignment="1">
      <alignment horizontal="right"/>
    </xf>
    <xf numFmtId="4" fontId="1" fillId="0" borderId="0" xfId="358" applyNumberFormat="1" applyFont="1" applyBorder="1" applyAlignment="1" applyProtection="1">
      <protection locked="0"/>
    </xf>
    <xf numFmtId="3" fontId="1" fillId="0" borderId="0" xfId="367" applyNumberFormat="1" applyFont="1" applyBorder="1" applyAlignment="1" applyProtection="1">
      <alignment horizontal="right"/>
    </xf>
    <xf numFmtId="1" fontId="1" fillId="0" borderId="0" xfId="367" applyNumberFormat="1" applyFont="1" applyBorder="1" applyAlignment="1" applyProtection="1">
      <alignment horizontal="right"/>
    </xf>
    <xf numFmtId="1" fontId="1" fillId="0" borderId="0" xfId="358" applyNumberFormat="1" applyProtection="1">
      <protection locked="0"/>
    </xf>
    <xf numFmtId="4" fontId="1" fillId="0" borderId="0" xfId="358" applyProtection="1">
      <protection locked="0"/>
    </xf>
    <xf numFmtId="49" fontId="1" fillId="0" borderId="0" xfId="367" applyNumberFormat="1" applyFont="1" applyFill="1" applyBorder="1" applyAlignment="1" applyProtection="1">
      <alignment horizontal="right"/>
      <protection locked="0"/>
    </xf>
    <xf numFmtId="169" fontId="1" fillId="0" borderId="0" xfId="289" applyNumberFormat="1" applyFont="1" applyAlignment="1" applyProtection="1">
      <alignment horizontal="right"/>
      <protection locked="0"/>
    </xf>
    <xf numFmtId="49" fontId="47" fillId="0" borderId="0" xfId="353" applyNumberFormat="1" applyFont="1" applyAlignment="1" applyProtection="1">
      <alignment horizontal="left" indent="1"/>
      <protection locked="0"/>
    </xf>
    <xf numFmtId="3" fontId="1" fillId="0" borderId="0" xfId="358" applyNumberFormat="1" applyFont="1" applyBorder="1" applyAlignment="1" applyProtection="1">
      <protection locked="0"/>
    </xf>
    <xf numFmtId="1" fontId="1" fillId="0" borderId="0" xfId="358" applyNumberFormat="1" applyFont="1" applyAlignment="1" applyProtection="1">
      <alignment horizontal="center"/>
      <protection locked="0"/>
    </xf>
    <xf numFmtId="172" fontId="1" fillId="0" borderId="0" xfId="353" applyNumberFormat="1" applyFont="1" applyBorder="1" applyAlignment="1" applyProtection="1">
      <alignment horizontal="right"/>
      <protection locked="0"/>
    </xf>
    <xf numFmtId="1" fontId="1" fillId="0" borderId="0" xfId="367" applyNumberFormat="1" applyFont="1" applyAlignment="1" applyProtection="1">
      <alignment horizontal="right"/>
      <protection locked="0"/>
    </xf>
    <xf numFmtId="1" fontId="1" fillId="0" borderId="0" xfId="353" applyNumberFormat="1" applyFont="1" applyBorder="1" applyAlignment="1" applyProtection="1">
      <protection locked="0"/>
    </xf>
    <xf numFmtId="1" fontId="1" fillId="0" borderId="0" xfId="367" applyNumberFormat="1" applyFont="1" applyFill="1" applyBorder="1" applyAlignment="1" applyProtection="1">
      <alignment horizontal="right"/>
    </xf>
    <xf numFmtId="4" fontId="1" fillId="0" borderId="0" xfId="353" applyNumberFormat="1" applyFont="1" applyFill="1" applyAlignment="1" applyProtection="1">
      <alignment horizontal="right"/>
      <protection locked="0"/>
    </xf>
    <xf numFmtId="4" fontId="1" fillId="0" borderId="0" xfId="353" applyNumberFormat="1" applyFont="1" applyBorder="1" applyAlignment="1" applyProtection="1">
      <protection locked="0"/>
    </xf>
    <xf numFmtId="49" fontId="47" fillId="0" borderId="0" xfId="353" applyNumberFormat="1" applyFont="1" applyBorder="1" applyAlignment="1" applyProtection="1">
      <alignment horizontal="left" indent="1"/>
      <protection locked="0"/>
    </xf>
    <xf numFmtId="4" fontId="1" fillId="0" borderId="0" xfId="353" applyNumberFormat="1" applyFill="1" applyAlignment="1" applyProtection="1">
      <alignment horizontal="right"/>
      <protection locked="0"/>
    </xf>
    <xf numFmtId="4" fontId="0" fillId="0" borderId="0" xfId="353" applyFont="1" applyAlignment="1">
      <alignment horizontal="left" vertical="top" wrapText="1" indent="1"/>
    </xf>
    <xf numFmtId="4" fontId="41" fillId="0" borderId="0" xfId="349" applyNumberFormat="1" applyFill="1" applyAlignment="1">
      <alignment horizontal="left" wrapText="1" indent="1"/>
    </xf>
    <xf numFmtId="4" fontId="41" fillId="0" borderId="0" xfId="349" applyNumberFormat="1" applyFill="1" applyAlignment="1"/>
    <xf numFmtId="0" fontId="41" fillId="0" borderId="0" xfId="349" applyNumberFormat="1" applyFill="1" applyAlignment="1"/>
    <xf numFmtId="0" fontId="1" fillId="0" borderId="0" xfId="353" applyNumberFormat="1" applyFill="1" applyAlignment="1">
      <alignment horizontal="left"/>
    </xf>
    <xf numFmtId="0" fontId="1" fillId="0" borderId="0" xfId="357" applyNumberFormat="1" applyFont="1" applyAlignment="1" applyProtection="1">
      <alignment horizontal="right"/>
      <protection locked="0"/>
    </xf>
    <xf numFmtId="170" fontId="1" fillId="0" borderId="0" xfId="357" applyNumberFormat="1" applyFont="1" applyAlignment="1" applyProtection="1">
      <alignment horizontal="right"/>
      <protection locked="0"/>
    </xf>
    <xf numFmtId="170" fontId="1" fillId="0" borderId="0" xfId="353" applyNumberFormat="1" applyFont="1" applyAlignment="1" applyProtection="1">
      <alignment horizontal="right" vertical="center"/>
      <protection locked="0"/>
    </xf>
    <xf numFmtId="170" fontId="1" fillId="0" borderId="0" xfId="357" applyNumberFormat="1" applyFont="1" applyAlignment="1" applyProtection="1">
      <alignment horizontal="right" vertical="center"/>
      <protection locked="0"/>
    </xf>
    <xf numFmtId="4" fontId="45" fillId="0" borderId="0" xfId="353" applyNumberFormat="1" applyFont="1" applyBorder="1"/>
    <xf numFmtId="4" fontId="45" fillId="0" borderId="0" xfId="353" applyFont="1" applyBorder="1"/>
    <xf numFmtId="4" fontId="45" fillId="0" borderId="0" xfId="353" applyNumberFormat="1" applyFont="1" applyBorder="1" applyAlignment="1">
      <alignment horizontal="right"/>
    </xf>
    <xf numFmtId="0" fontId="45" fillId="0" borderId="0" xfId="353" applyNumberFormat="1" applyFont="1" applyBorder="1" applyAlignment="1">
      <alignment horizontal="center"/>
    </xf>
    <xf numFmtId="0" fontId="45" fillId="0" borderId="0" xfId="353" applyNumberFormat="1" applyFont="1" applyBorder="1" applyAlignment="1">
      <alignment horizontal="right"/>
    </xf>
    <xf numFmtId="0" fontId="46" fillId="0" borderId="0" xfId="353" applyNumberFormat="1" applyFont="1" applyBorder="1" applyAlignment="1">
      <alignment horizontal="center"/>
    </xf>
    <xf numFmtId="166" fontId="45" fillId="0" borderId="0" xfId="353" applyNumberFormat="1" applyFont="1" applyBorder="1" applyAlignment="1">
      <alignment horizontal="right"/>
    </xf>
    <xf numFmtId="167" fontId="45" fillId="0" borderId="0" xfId="353" applyNumberFormat="1" applyFont="1" applyBorder="1"/>
    <xf numFmtId="0" fontId="45" fillId="0" borderId="0" xfId="353" applyNumberFormat="1" applyFont="1" applyBorder="1" applyAlignment="1" applyProtection="1">
      <alignment horizontal="right"/>
      <protection locked="0"/>
    </xf>
    <xf numFmtId="0" fontId="46" fillId="0" borderId="0" xfId="353" applyNumberFormat="1" applyFont="1" applyBorder="1" applyAlignment="1">
      <alignment horizontal="right"/>
    </xf>
    <xf numFmtId="4" fontId="45" fillId="0" borderId="0" xfId="353" applyFont="1" applyBorder="1" applyAlignment="1">
      <alignment horizontal="left"/>
    </xf>
    <xf numFmtId="4" fontId="45" fillId="0" borderId="0" xfId="353" applyFont="1" applyBorder="1" applyAlignment="1">
      <alignment horizontal="left" wrapText="1"/>
    </xf>
    <xf numFmtId="4" fontId="45" fillId="0" borderId="0" xfId="353" applyNumberFormat="1" applyFont="1" applyBorder="1" applyAlignment="1">
      <alignment horizontal="center"/>
    </xf>
    <xf numFmtId="4" fontId="45" fillId="0" borderId="0" xfId="353" applyFont="1" applyBorder="1" applyAlignment="1">
      <alignment horizontal="center"/>
    </xf>
    <xf numFmtId="4" fontId="1" fillId="0" borderId="0" xfId="353" applyBorder="1" applyAlignment="1">
      <alignment horizontal="left"/>
    </xf>
    <xf numFmtId="4" fontId="1" fillId="0" borderId="0" xfId="353" applyBorder="1" applyAlignment="1">
      <alignment horizontal="left" wrapText="1"/>
    </xf>
    <xf numFmtId="4" fontId="1" fillId="0" borderId="0" xfId="353" applyBorder="1"/>
    <xf numFmtId="49" fontId="45" fillId="0" borderId="0" xfId="353" applyNumberFormat="1" applyFont="1" applyBorder="1" applyAlignment="1">
      <alignment horizontal="left"/>
    </xf>
    <xf numFmtId="49" fontId="45" fillId="0" borderId="0" xfId="353" applyNumberFormat="1" applyFont="1" applyBorder="1" applyAlignment="1">
      <alignment horizontal="left" wrapText="1"/>
    </xf>
    <xf numFmtId="0" fontId="45" fillId="0" borderId="0" xfId="353" applyNumberFormat="1" applyFont="1" applyBorder="1" applyAlignment="1">
      <alignment horizontal="center" textRotation="255"/>
    </xf>
    <xf numFmtId="49" fontId="47" fillId="0" borderId="0" xfId="356" applyNumberFormat="1" applyFont="1" applyAlignment="1" applyProtection="1">
      <alignment horizontal="left"/>
      <protection locked="0"/>
    </xf>
    <xf numFmtId="49" fontId="47" fillId="0" borderId="0" xfId="356" applyNumberFormat="1" applyFont="1" applyBorder="1" applyAlignment="1" applyProtection="1">
      <alignment horizontal="left"/>
      <protection locked="0"/>
    </xf>
    <xf numFmtId="4" fontId="1" fillId="0" borderId="0" xfId="356" applyFont="1" applyFill="1" applyBorder="1" applyAlignment="1" applyProtection="1">
      <alignment horizontal="center"/>
      <protection locked="0"/>
    </xf>
    <xf numFmtId="4" fontId="47" fillId="0" borderId="0" xfId="353" applyFont="1" applyBorder="1" applyAlignment="1" applyProtection="1">
      <protection locked="0"/>
    </xf>
    <xf numFmtId="49" fontId="7" fillId="0" borderId="0" xfId="356" applyNumberFormat="1" applyFont="1" applyBorder="1" applyAlignment="1" applyProtection="1">
      <alignment horizontal="left" indent="1"/>
      <protection locked="0"/>
    </xf>
    <xf numFmtId="49" fontId="7" fillId="0" borderId="0" xfId="353" applyNumberFormat="1" applyFont="1" applyBorder="1" applyAlignment="1" applyProtection="1">
      <alignment horizontal="left" indent="2"/>
      <protection locked="0"/>
    </xf>
    <xf numFmtId="49" fontId="7" fillId="0" borderId="0" xfId="356" applyNumberFormat="1" applyFont="1" applyBorder="1" applyAlignment="1" applyProtection="1">
      <alignment horizontal="left" indent="2"/>
      <protection locked="0"/>
    </xf>
    <xf numFmtId="49" fontId="7" fillId="0" borderId="0" xfId="353" applyNumberFormat="1" applyFont="1" applyBorder="1" applyAlignment="1" applyProtection="1">
      <alignment horizontal="left" indent="3"/>
      <protection locked="0"/>
    </xf>
    <xf numFmtId="38" fontId="1" fillId="0" borderId="0" xfId="89" applyNumberFormat="1" applyFont="1" applyFill="1" applyBorder="1" applyAlignment="1" applyProtection="1">
      <protection locked="0"/>
    </xf>
    <xf numFmtId="38" fontId="1" fillId="0" borderId="0" xfId="353" applyNumberFormat="1" applyFont="1" applyFill="1" applyBorder="1" applyAlignment="1" applyProtection="1">
      <alignment horizontal="center"/>
      <protection locked="0"/>
    </xf>
    <xf numFmtId="8" fontId="1" fillId="31" borderId="0" xfId="89" applyNumberFormat="1" applyFont="1" applyFill="1" applyBorder="1" applyAlignment="1" applyProtection="1">
      <protection locked="0"/>
    </xf>
    <xf numFmtId="4" fontId="47" fillId="0" borderId="0" xfId="353" applyFont="1" applyFill="1" applyBorder="1" applyAlignment="1" applyProtection="1">
      <alignment horizontal="center"/>
      <protection locked="0"/>
    </xf>
    <xf numFmtId="8" fontId="1" fillId="0" borderId="0" xfId="89" applyNumberFormat="1" applyFont="1" applyFill="1" applyBorder="1" applyAlignment="1" applyProtection="1">
      <protection locked="0"/>
    </xf>
    <xf numFmtId="8" fontId="47" fillId="0" borderId="0" xfId="353" applyNumberFormat="1" applyFont="1" applyBorder="1" applyAlignment="1" applyProtection="1">
      <alignment horizontal="center"/>
      <protection locked="0"/>
    </xf>
    <xf numFmtId="49" fontId="7" fillId="0" borderId="0" xfId="356" applyNumberFormat="1" applyFont="1" applyBorder="1" applyAlignment="1" applyProtection="1">
      <alignment horizontal="left" indent="3"/>
      <protection locked="0"/>
    </xf>
    <xf numFmtId="6" fontId="1" fillId="31" borderId="0" xfId="89" applyNumberFormat="1" applyFont="1" applyFill="1" applyBorder="1" applyAlignment="1" applyProtection="1">
      <protection locked="0"/>
    </xf>
    <xf numFmtId="6" fontId="1" fillId="0" borderId="0" xfId="89" applyNumberFormat="1" applyFont="1" applyFill="1" applyBorder="1" applyAlignment="1" applyProtection="1">
      <protection locked="0"/>
    </xf>
    <xf numFmtId="6" fontId="47" fillId="0" borderId="0" xfId="353" applyNumberFormat="1" applyFont="1" applyBorder="1" applyAlignment="1" applyProtection="1">
      <alignment horizontal="center"/>
      <protection locked="0"/>
    </xf>
    <xf numFmtId="173" fontId="1" fillId="0" borderId="0" xfId="356" applyNumberFormat="1" applyFont="1" applyFill="1" applyBorder="1" applyAlignment="1" applyProtection="1">
      <protection locked="0"/>
    </xf>
    <xf numFmtId="168" fontId="7" fillId="0" borderId="0" xfId="353" applyNumberFormat="1" applyFont="1" applyFill="1" applyBorder="1" applyAlignment="1" applyProtection="1">
      <alignment horizontal="center"/>
      <protection locked="0"/>
    </xf>
    <xf numFmtId="168" fontId="3" fillId="0" borderId="0" xfId="102" applyNumberFormat="1" applyBorder="1"/>
    <xf numFmtId="173" fontId="7" fillId="0" borderId="0" xfId="353" applyNumberFormat="1" applyFont="1" applyFill="1" applyBorder="1" applyAlignment="1" applyProtection="1">
      <alignment horizontal="center"/>
      <protection locked="0"/>
    </xf>
    <xf numFmtId="38" fontId="47" fillId="0" borderId="0" xfId="353" applyNumberFormat="1" applyFont="1" applyBorder="1" applyAlignment="1" applyProtection="1">
      <alignment horizontal="center"/>
      <protection locked="0"/>
    </xf>
    <xf numFmtId="8" fontId="1" fillId="0" borderId="0" xfId="353" applyNumberFormat="1" applyFont="1" applyFill="1" applyBorder="1" applyAlignment="1" applyProtection="1">
      <alignment horizontal="center"/>
      <protection locked="0"/>
    </xf>
    <xf numFmtId="6" fontId="1" fillId="0" borderId="0" xfId="5" applyNumberFormat="1" applyFont="1" applyFill="1" applyBorder="1" applyAlignment="1" applyProtection="1">
      <alignment horizontal="center"/>
      <protection locked="0"/>
    </xf>
    <xf numFmtId="173" fontId="1" fillId="0" borderId="0" xfId="353" applyNumberFormat="1" applyFont="1" applyFill="1" applyBorder="1" applyAlignment="1" applyProtection="1">
      <alignment horizontal="center"/>
      <protection locked="0"/>
    </xf>
    <xf numFmtId="173" fontId="1" fillId="0" borderId="0" xfId="5" applyNumberFormat="1" applyFont="1" applyFill="1" applyBorder="1" applyAlignment="1" applyProtection="1">
      <alignment horizontal="center"/>
      <protection locked="0"/>
    </xf>
    <xf numFmtId="0" fontId="1" fillId="0" borderId="0" xfId="353" applyNumberFormat="1" applyFill="1" applyBorder="1" applyAlignment="1">
      <alignment horizontal="center"/>
    </xf>
    <xf numFmtId="0" fontId="1" fillId="0" borderId="0" xfId="353" applyNumberFormat="1" applyBorder="1" applyAlignment="1">
      <alignment horizontal="center"/>
    </xf>
    <xf numFmtId="38" fontId="1" fillId="0" borderId="0" xfId="353" applyNumberFormat="1" applyBorder="1" applyAlignment="1">
      <alignment horizontal="right"/>
    </xf>
    <xf numFmtId="0" fontId="1" fillId="0" borderId="0" xfId="353" applyNumberFormat="1" applyBorder="1" applyAlignment="1">
      <alignment horizontal="right"/>
    </xf>
    <xf numFmtId="49" fontId="7" fillId="0" borderId="0" xfId="353" applyNumberFormat="1" applyFont="1" applyBorder="1" applyAlignment="1" applyProtection="1">
      <alignment horizontal="left" indent="4"/>
      <protection locked="0"/>
    </xf>
    <xf numFmtId="8" fontId="7" fillId="0" borderId="0" xfId="353" applyNumberFormat="1" applyFont="1" applyBorder="1" applyAlignment="1" applyProtection="1">
      <alignment horizontal="right"/>
      <protection locked="0"/>
    </xf>
    <xf numFmtId="6" fontId="7" fillId="0" borderId="0" xfId="353" applyNumberFormat="1" applyFont="1" applyBorder="1" applyAlignment="1" applyProtection="1">
      <alignment horizontal="right"/>
      <protection locked="0"/>
    </xf>
    <xf numFmtId="0" fontId="1" fillId="0" borderId="0" xfId="355" applyNumberFormat="1" applyBorder="1" applyAlignment="1">
      <alignment horizontal="right"/>
    </xf>
    <xf numFmtId="8" fontId="1" fillId="0" borderId="0" xfId="353" applyNumberFormat="1" applyBorder="1" applyAlignment="1">
      <alignment horizontal="right"/>
    </xf>
    <xf numFmtId="0" fontId="1" fillId="0" borderId="0" xfId="356" applyNumberFormat="1" applyFont="1" applyFill="1" applyBorder="1" applyAlignment="1">
      <alignment horizontal="center"/>
    </xf>
    <xf numFmtId="6" fontId="1" fillId="0" borderId="0" xfId="353" applyNumberFormat="1" applyBorder="1" applyAlignment="1">
      <alignment horizontal="right"/>
    </xf>
    <xf numFmtId="169" fontId="1" fillId="0" borderId="0" xfId="353" applyNumberFormat="1" applyBorder="1" applyAlignment="1">
      <alignment horizontal="right"/>
    </xf>
    <xf numFmtId="4" fontId="47" fillId="0" borderId="0" xfId="355" applyFont="1" applyBorder="1" applyAlignment="1" applyProtection="1">
      <alignment horizontal="center"/>
      <protection locked="0"/>
    </xf>
    <xf numFmtId="169" fontId="1" fillId="0" borderId="0" xfId="353" applyNumberFormat="1" applyFont="1" applyBorder="1" applyAlignment="1" applyProtection="1">
      <alignment horizontal="center"/>
      <protection locked="0"/>
    </xf>
    <xf numFmtId="6" fontId="1" fillId="0" borderId="0" xfId="353" applyNumberFormat="1" applyFont="1" applyFill="1" applyBorder="1" applyAlignment="1" applyProtection="1">
      <alignment horizontal="center"/>
      <protection locked="0"/>
    </xf>
    <xf numFmtId="49" fontId="7" fillId="0" borderId="0" xfId="356" applyNumberFormat="1" applyFont="1" applyBorder="1" applyAlignment="1" applyProtection="1">
      <alignment horizontal="left" indent="4"/>
      <protection locked="0"/>
    </xf>
    <xf numFmtId="4" fontId="1" fillId="0" borderId="0" xfId="355" applyFont="1" applyBorder="1" applyAlignment="1" applyProtection="1">
      <alignment horizontal="center"/>
      <protection locked="0"/>
    </xf>
    <xf numFmtId="4" fontId="7" fillId="0" borderId="0" xfId="353" applyFont="1" applyBorder="1" applyAlignment="1" applyProtection="1">
      <alignment horizontal="right"/>
      <protection locked="0"/>
    </xf>
    <xf numFmtId="38" fontId="1" fillId="0" borderId="0" xfId="353" applyNumberFormat="1" applyFont="1" applyBorder="1" applyAlignment="1" applyProtection="1">
      <alignment horizontal="center"/>
      <protection locked="0"/>
    </xf>
    <xf numFmtId="8" fontId="1" fillId="0" borderId="0" xfId="353" applyNumberFormat="1" applyFont="1" applyBorder="1" applyAlignment="1" applyProtection="1">
      <alignment horizontal="center"/>
      <protection locked="0"/>
    </xf>
    <xf numFmtId="6" fontId="1" fillId="0" borderId="0" xfId="353" applyNumberFormat="1" applyFont="1" applyBorder="1" applyAlignment="1" applyProtection="1">
      <alignment horizontal="center"/>
      <protection locked="0"/>
    </xf>
    <xf numFmtId="169" fontId="47" fillId="0" borderId="0" xfId="353" applyNumberFormat="1" applyFont="1" applyBorder="1" applyAlignment="1" applyProtection="1">
      <alignment horizontal="center"/>
      <protection locked="0"/>
    </xf>
    <xf numFmtId="49" fontId="64" fillId="0" borderId="0" xfId="353" applyNumberFormat="1" applyFont="1" applyFill="1" applyBorder="1" applyAlignment="1" applyProtection="1">
      <alignment horizontal="left" indent="1"/>
      <protection locked="0"/>
    </xf>
    <xf numFmtId="4" fontId="1" fillId="0" borderId="0" xfId="353" applyFont="1" applyFill="1" applyBorder="1" applyAlignment="1" applyProtection="1">
      <alignment horizontal="center"/>
      <protection locked="0"/>
    </xf>
    <xf numFmtId="49" fontId="7" fillId="0" borderId="0" xfId="353" applyNumberFormat="1" applyFont="1" applyFill="1" applyBorder="1" applyAlignment="1" applyProtection="1">
      <alignment horizontal="left" indent="2"/>
      <protection locked="0"/>
    </xf>
    <xf numFmtId="49" fontId="7" fillId="0" borderId="0" xfId="353" applyNumberFormat="1" applyFont="1" applyFill="1" applyBorder="1" applyAlignment="1" applyProtection="1">
      <alignment horizontal="left" indent="3"/>
      <protection locked="0"/>
    </xf>
    <xf numFmtId="169" fontId="1" fillId="0" borderId="0" xfId="353" applyNumberFormat="1" applyFont="1" applyFill="1" applyBorder="1" applyAlignment="1" applyProtection="1">
      <alignment horizontal="center"/>
      <protection locked="0"/>
    </xf>
    <xf numFmtId="169" fontId="1" fillId="31" borderId="0" xfId="6" applyNumberFormat="1" applyFont="1" applyFill="1" applyBorder="1" applyAlignment="1" applyProtection="1">
      <protection locked="0"/>
    </xf>
    <xf numFmtId="49" fontId="64" fillId="0" borderId="0" xfId="353" applyNumberFormat="1" applyFont="1" applyBorder="1" applyAlignment="1" applyProtection="1">
      <alignment horizontal="left"/>
      <protection locked="0"/>
    </xf>
    <xf numFmtId="6" fontId="47" fillId="0" borderId="0" xfId="353" applyNumberFormat="1" applyFont="1" applyBorder="1" applyAlignment="1" applyProtection="1">
      <protection locked="0"/>
    </xf>
    <xf numFmtId="6" fontId="1" fillId="0" borderId="0" xfId="356" applyNumberFormat="1" applyFont="1" applyFill="1" applyBorder="1" applyAlignment="1" applyProtection="1">
      <protection locked="0"/>
    </xf>
    <xf numFmtId="4" fontId="1" fillId="0" borderId="0" xfId="353" applyBorder="1" applyProtection="1">
      <protection locked="0"/>
    </xf>
    <xf numFmtId="6" fontId="41" fillId="0" borderId="0" xfId="349" applyNumberFormat="1" applyBorder="1" applyAlignment="1"/>
    <xf numFmtId="4" fontId="47" fillId="0" borderId="0" xfId="353" applyFont="1" applyBorder="1" applyAlignment="1" applyProtection="1">
      <alignment horizontal="left" wrapText="1"/>
      <protection locked="0"/>
    </xf>
    <xf numFmtId="0" fontId="41" fillId="0" borderId="0" xfId="349" applyBorder="1" applyAlignment="1"/>
    <xf numFmtId="4" fontId="1" fillId="0" borderId="0" xfId="358" applyFont="1" applyBorder="1" applyAlignment="1">
      <alignment vertical="top"/>
    </xf>
    <xf numFmtId="0" fontId="41" fillId="0" borderId="0" xfId="349" applyBorder="1" applyAlignment="1">
      <alignment wrapText="1"/>
    </xf>
    <xf numFmtId="49" fontId="64" fillId="0" borderId="0" xfId="356" applyNumberFormat="1" applyFont="1" applyBorder="1" applyAlignment="1" applyProtection="1">
      <alignment horizontal="left"/>
      <protection locked="0"/>
    </xf>
    <xf numFmtId="0" fontId="1" fillId="0" borderId="0" xfId="141" applyBorder="1" applyAlignment="1"/>
    <xf numFmtId="0" fontId="1" fillId="0" borderId="0" xfId="141" applyBorder="1" applyAlignment="1">
      <alignment wrapText="1"/>
    </xf>
    <xf numFmtId="49" fontId="7" fillId="0" borderId="0" xfId="356" applyNumberFormat="1" applyFont="1" applyFill="1" applyBorder="1" applyAlignment="1" applyProtection="1">
      <alignment horizontal="left" indent="1"/>
      <protection locked="0"/>
    </xf>
    <xf numFmtId="4" fontId="1" fillId="0" borderId="0" xfId="358" applyFont="1" applyFill="1" applyBorder="1" applyAlignment="1">
      <alignment vertical="top"/>
    </xf>
    <xf numFmtId="49" fontId="7" fillId="0" borderId="0" xfId="356" applyNumberFormat="1" applyFont="1" applyFill="1" applyBorder="1" applyAlignment="1" applyProtection="1">
      <alignment horizontal="left" indent="2"/>
      <protection locked="0"/>
    </xf>
    <xf numFmtId="38" fontId="1" fillId="0" borderId="0" xfId="141" applyNumberFormat="1" applyBorder="1" applyAlignment="1"/>
    <xf numFmtId="8" fontId="1" fillId="0" borderId="0" xfId="141" applyNumberFormat="1" applyBorder="1" applyAlignment="1"/>
    <xf numFmtId="49" fontId="7" fillId="0" borderId="0" xfId="356" applyNumberFormat="1" applyFont="1" applyFill="1" applyBorder="1" applyAlignment="1" applyProtection="1">
      <alignment horizontal="left" indent="3"/>
      <protection locked="0"/>
    </xf>
    <xf numFmtId="6" fontId="1" fillId="0" borderId="0" xfId="356" applyNumberFormat="1" applyFont="1" applyFill="1" applyBorder="1" applyAlignment="1" applyProtection="1">
      <alignment horizontal="right"/>
      <protection locked="0"/>
    </xf>
    <xf numFmtId="4" fontId="1" fillId="0" borderId="0" xfId="356" applyFill="1" applyBorder="1" applyAlignment="1">
      <alignment horizontal="left"/>
    </xf>
    <xf numFmtId="168" fontId="1" fillId="0" borderId="0" xfId="92" applyNumberFormat="1" applyFont="1" applyFill="1" applyBorder="1" applyAlignment="1" applyProtection="1">
      <protection locked="0"/>
    </xf>
    <xf numFmtId="168" fontId="1" fillId="0" borderId="0" xfId="92" applyNumberFormat="1" applyFill="1" applyBorder="1" applyAlignment="1">
      <alignment horizontal="center"/>
    </xf>
    <xf numFmtId="168" fontId="1" fillId="0" borderId="0" xfId="92" applyNumberFormat="1" applyBorder="1" applyAlignment="1">
      <alignment horizontal="center"/>
    </xf>
    <xf numFmtId="168" fontId="1" fillId="0" borderId="0" xfId="92" applyNumberFormat="1" applyBorder="1" applyAlignment="1">
      <alignment horizontal="right"/>
    </xf>
    <xf numFmtId="168" fontId="1" fillId="0" borderId="0" xfId="353" applyNumberFormat="1" applyBorder="1" applyAlignment="1">
      <alignment horizontal="right"/>
    </xf>
    <xf numFmtId="6" fontId="1" fillId="0" borderId="0" xfId="289" applyNumberFormat="1" applyFont="1" applyFill="1" applyBorder="1" applyAlignment="1" applyProtection="1">
      <protection locked="0"/>
    </xf>
    <xf numFmtId="179" fontId="1" fillId="0" borderId="0" xfId="289" applyNumberFormat="1" applyFill="1" applyBorder="1" applyAlignment="1">
      <alignment horizontal="center"/>
    </xf>
    <xf numFmtId="4" fontId="1" fillId="0" borderId="0" xfId="356" applyBorder="1" applyAlignment="1">
      <alignment horizontal="left"/>
    </xf>
    <xf numFmtId="0" fontId="1" fillId="0" borderId="0" xfId="356" applyNumberFormat="1" applyBorder="1" applyAlignment="1">
      <alignment horizontal="right"/>
    </xf>
    <xf numFmtId="4" fontId="47" fillId="0" borderId="0" xfId="356" applyFont="1" applyBorder="1" applyAlignment="1">
      <alignment horizontal="left"/>
    </xf>
    <xf numFmtId="6" fontId="47" fillId="0" borderId="0" xfId="89" applyNumberFormat="1" applyFont="1" applyFill="1" applyBorder="1" applyAlignment="1" applyProtection="1">
      <protection locked="0"/>
    </xf>
    <xf numFmtId="0" fontId="1" fillId="0" borderId="0" xfId="356" applyNumberFormat="1" applyFill="1" applyBorder="1" applyAlignment="1">
      <alignment horizontal="right"/>
    </xf>
    <xf numFmtId="49" fontId="7" fillId="0" borderId="0" xfId="356" applyNumberFormat="1" applyFont="1" applyFill="1" applyBorder="1" applyAlignment="1" applyProtection="1">
      <alignment horizontal="left" indent="4"/>
      <protection locked="0"/>
    </xf>
    <xf numFmtId="4" fontId="1" fillId="0" borderId="0" xfId="359" applyFont="1" applyBorder="1" applyAlignment="1" applyProtection="1">
      <alignment horizontal="center"/>
      <protection locked="0"/>
    </xf>
    <xf numFmtId="4" fontId="47" fillId="0" borderId="0" xfId="359" applyFont="1" applyBorder="1" applyAlignment="1" applyProtection="1">
      <alignment horizontal="center"/>
      <protection locked="0"/>
    </xf>
    <xf numFmtId="0" fontId="1" fillId="0" borderId="0" xfId="359" applyNumberFormat="1" applyFont="1" applyBorder="1" applyAlignment="1" applyProtection="1">
      <alignment horizontal="right"/>
      <protection locked="0"/>
    </xf>
    <xf numFmtId="3" fontId="1" fillId="0" borderId="0" xfId="359" applyNumberFormat="1" applyFont="1" applyBorder="1" applyAlignment="1" applyProtection="1">
      <alignment horizontal="right"/>
      <protection locked="0"/>
    </xf>
    <xf numFmtId="3" fontId="1" fillId="0" borderId="0" xfId="353" applyNumberFormat="1" applyBorder="1" applyAlignment="1">
      <alignment horizontal="right"/>
    </xf>
    <xf numFmtId="4" fontId="47" fillId="0" borderId="0" xfId="353" applyFont="1" applyBorder="1" applyAlignment="1">
      <alignment horizontal="left"/>
    </xf>
    <xf numFmtId="4" fontId="1" fillId="0" borderId="0" xfId="353" applyBorder="1" applyAlignment="1">
      <alignment horizontal="right"/>
    </xf>
    <xf numFmtId="0" fontId="41" fillId="0" borderId="0" xfId="349" applyBorder="1" applyAlignment="1">
      <alignment horizontal="left" wrapText="1" indent="1"/>
    </xf>
    <xf numFmtId="4" fontId="1" fillId="0" borderId="0" xfId="356" applyFill="1" applyBorder="1" applyAlignment="1">
      <alignment horizontal="left" indent="1"/>
    </xf>
    <xf numFmtId="4" fontId="1" fillId="0" borderId="0" xfId="356" applyFont="1" applyBorder="1" applyAlignment="1">
      <alignment horizontal="left" indent="1"/>
    </xf>
    <xf numFmtId="4" fontId="47" fillId="0" borderId="0" xfId="354" applyFont="1" applyFill="1" applyAlignment="1" applyProtection="1">
      <alignment horizontal="right"/>
      <protection locked="0"/>
    </xf>
    <xf numFmtId="4" fontId="1" fillId="0" borderId="0" xfId="354" applyFont="1" applyFill="1" applyAlignment="1" applyProtection="1">
      <alignment horizontal="right"/>
      <protection locked="0"/>
    </xf>
    <xf numFmtId="168" fontId="0" fillId="0" borderId="0" xfId="92" applyNumberFormat="1" applyFont="1"/>
    <xf numFmtId="2" fontId="1" fillId="0" borderId="0" xfId="354" applyNumberFormat="1" applyFont="1" applyFill="1" applyAlignment="1" applyProtection="1">
      <alignment horizontal="right"/>
      <protection locked="0"/>
    </xf>
    <xf numFmtId="2" fontId="1" fillId="0" borderId="0" xfId="354" applyNumberFormat="1" applyFont="1" applyAlignment="1" applyProtection="1">
      <alignment horizontal="right"/>
      <protection locked="0"/>
    </xf>
    <xf numFmtId="2" fontId="41" fillId="0" borderId="0" xfId="349" applyNumberFormat="1"/>
    <xf numFmtId="2" fontId="1" fillId="0" borderId="0" xfId="353" applyNumberFormat="1" applyFont="1" applyAlignment="1" applyProtection="1">
      <alignment horizontal="center"/>
      <protection locked="0"/>
    </xf>
    <xf numFmtId="2" fontId="1" fillId="0" borderId="0" xfId="353" applyNumberFormat="1" applyFont="1" applyAlignment="1" applyProtection="1">
      <alignment horizontal="right"/>
      <protection locked="0"/>
    </xf>
    <xf numFmtId="173" fontId="1" fillId="0" borderId="0" xfId="289" applyNumberFormat="1" applyFont="1" applyFill="1" applyAlignment="1" applyProtection="1">
      <alignment horizontal="right"/>
      <protection locked="0"/>
    </xf>
    <xf numFmtId="173" fontId="1" fillId="0" borderId="0" xfId="289" applyNumberFormat="1" applyFont="1" applyAlignment="1" applyProtection="1">
      <alignment horizontal="right"/>
      <protection locked="0"/>
    </xf>
    <xf numFmtId="173" fontId="0" fillId="0" borderId="0" xfId="289" applyNumberFormat="1" applyFont="1"/>
    <xf numFmtId="173" fontId="1" fillId="0" borderId="0" xfId="289" applyNumberFormat="1" applyFont="1" applyAlignment="1" applyProtection="1">
      <alignment horizontal="center"/>
      <protection locked="0"/>
    </xf>
    <xf numFmtId="180" fontId="1" fillId="0" borderId="0" xfId="353" applyNumberFormat="1" applyFont="1" applyAlignment="1" applyProtection="1">
      <alignment horizontal="center"/>
      <protection locked="0"/>
    </xf>
    <xf numFmtId="169" fontId="1" fillId="0" borderId="0" xfId="360" applyNumberFormat="1" applyFont="1" applyFill="1" applyAlignment="1" applyProtection="1">
      <alignment horizontal="right"/>
      <protection locked="0"/>
    </xf>
    <xf numFmtId="5" fontId="24" fillId="0" borderId="0" xfId="349" applyNumberFormat="1" applyFont="1" applyAlignment="1">
      <alignment horizontal="right"/>
    </xf>
    <xf numFmtId="5" fontId="1" fillId="0" borderId="0" xfId="354" applyNumberFormat="1" applyFont="1" applyAlignment="1" applyProtection="1">
      <alignment horizontal="right"/>
      <protection locked="0"/>
    </xf>
    <xf numFmtId="175" fontId="1" fillId="0" borderId="0" xfId="353" applyNumberFormat="1" applyFont="1" applyAlignment="1" applyProtection="1">
      <alignment horizontal="center"/>
      <protection locked="0"/>
    </xf>
    <xf numFmtId="181" fontId="1" fillId="0" borderId="0" xfId="354" applyNumberFormat="1" applyFont="1" applyFill="1" applyAlignment="1" applyProtection="1">
      <alignment horizontal="right"/>
      <protection locked="0"/>
    </xf>
    <xf numFmtId="181" fontId="1" fillId="0" borderId="0" xfId="354" applyNumberFormat="1" applyFont="1" applyAlignment="1" applyProtection="1">
      <alignment horizontal="right"/>
      <protection locked="0"/>
    </xf>
    <xf numFmtId="181" fontId="1" fillId="0" borderId="0" xfId="353" applyNumberFormat="1" applyFont="1" applyAlignment="1" applyProtection="1">
      <alignment horizontal="right"/>
      <protection locked="0"/>
    </xf>
    <xf numFmtId="168" fontId="1" fillId="0" borderId="0" xfId="360" applyNumberFormat="1" applyFont="1" applyFill="1" applyAlignment="1" applyProtection="1">
      <alignment horizontal="right"/>
      <protection locked="0"/>
    </xf>
    <xf numFmtId="168" fontId="41" fillId="0" borderId="0" xfId="349" applyNumberFormat="1"/>
    <xf numFmtId="168" fontId="1" fillId="0" borderId="0" xfId="354" applyNumberFormat="1" applyFont="1" applyAlignment="1" applyProtection="1">
      <alignment horizontal="right"/>
      <protection locked="0"/>
    </xf>
    <xf numFmtId="173" fontId="1" fillId="0" borderId="0" xfId="360" applyNumberFormat="1" applyFont="1" applyFill="1" applyAlignment="1" applyProtection="1">
      <alignment horizontal="right"/>
      <protection locked="0"/>
    </xf>
    <xf numFmtId="173" fontId="1" fillId="0" borderId="0" xfId="354" applyNumberFormat="1" applyFont="1" applyAlignment="1" applyProtection="1">
      <alignment horizontal="right"/>
      <protection locked="0"/>
    </xf>
    <xf numFmtId="173" fontId="41" fillId="0" borderId="0" xfId="349" applyNumberFormat="1"/>
    <xf numFmtId="182" fontId="1" fillId="0" borderId="0" xfId="353" applyNumberFormat="1" applyFont="1" applyAlignment="1" applyProtection="1">
      <alignment horizontal="center"/>
      <protection locked="0"/>
    </xf>
    <xf numFmtId="183" fontId="1" fillId="0" borderId="0" xfId="353" applyNumberFormat="1" applyFont="1" applyAlignment="1" applyProtection="1">
      <alignment horizontal="center"/>
      <protection locked="0"/>
    </xf>
    <xf numFmtId="184" fontId="1" fillId="0" borderId="0" xfId="353" applyNumberFormat="1" applyFont="1" applyAlignment="1" applyProtection="1">
      <alignment horizontal="center"/>
      <protection locked="0"/>
    </xf>
    <xf numFmtId="1" fontId="1" fillId="0" borderId="0" xfId="354" applyNumberFormat="1" applyFont="1" applyAlignment="1" applyProtection="1">
      <alignment horizontal="right"/>
      <protection locked="0"/>
    </xf>
    <xf numFmtId="2" fontId="1" fillId="0" borderId="0" xfId="1" applyNumberFormat="1" applyFont="1" applyFill="1" applyAlignment="1" applyProtection="1">
      <alignment horizontal="right"/>
      <protection locked="0"/>
    </xf>
    <xf numFmtId="173" fontId="1" fillId="0" borderId="0" xfId="1" applyNumberFormat="1" applyFont="1" applyFill="1" applyAlignment="1" applyProtection="1">
      <alignment horizontal="right"/>
      <protection locked="0"/>
    </xf>
    <xf numFmtId="49" fontId="1" fillId="0" borderId="0" xfId="353" quotePrefix="1" applyNumberFormat="1" applyFont="1" applyAlignment="1" applyProtection="1">
      <alignment horizontal="left" indent="2"/>
      <protection locked="0"/>
    </xf>
    <xf numFmtId="185" fontId="1" fillId="0" borderId="0" xfId="353" applyNumberFormat="1" applyFont="1" applyAlignment="1" applyProtection="1">
      <alignment horizontal="center"/>
      <protection locked="0"/>
    </xf>
    <xf numFmtId="169" fontId="1" fillId="0" borderId="0" xfId="349" applyNumberFormat="1" applyFont="1" applyFill="1" applyAlignment="1">
      <alignment horizontal="right"/>
    </xf>
    <xf numFmtId="169" fontId="1" fillId="0" borderId="0" xfId="141" applyNumberFormat="1" applyFont="1" applyFill="1" applyBorder="1" applyAlignment="1">
      <alignment horizontal="right"/>
    </xf>
    <xf numFmtId="169" fontId="1" fillId="0" borderId="0" xfId="141" applyNumberFormat="1" applyFont="1" applyFill="1" applyAlignment="1">
      <alignment horizontal="right"/>
    </xf>
    <xf numFmtId="49" fontId="1" fillId="0" borderId="0" xfId="353" quotePrefix="1" applyNumberFormat="1" applyFont="1" applyAlignment="1" applyProtection="1">
      <alignment horizontal="left" indent="3"/>
      <protection locked="0"/>
    </xf>
    <xf numFmtId="5" fontId="1" fillId="0" borderId="0" xfId="360" applyNumberFormat="1" applyFont="1" applyFill="1" applyAlignment="1" applyProtection="1">
      <alignment horizontal="right"/>
      <protection locked="0"/>
    </xf>
    <xf numFmtId="5" fontId="1" fillId="31" borderId="0" xfId="360" applyNumberFormat="1" applyFont="1" applyFill="1" applyAlignment="1" applyProtection="1">
      <alignment horizontal="right"/>
      <protection locked="0"/>
    </xf>
    <xf numFmtId="5" fontId="1" fillId="31" borderId="0" xfId="360" applyNumberFormat="1" applyFont="1" applyFill="1" applyBorder="1" applyAlignment="1" applyProtection="1">
      <alignment horizontal="right"/>
      <protection locked="0"/>
    </xf>
    <xf numFmtId="169" fontId="1" fillId="31" borderId="0" xfId="360" applyNumberFormat="1" applyFont="1" applyFill="1" applyAlignment="1" applyProtection="1">
      <alignment horizontal="right"/>
      <protection locked="0"/>
    </xf>
    <xf numFmtId="186" fontId="1" fillId="0" borderId="0" xfId="354" applyNumberFormat="1" applyFont="1" applyFill="1" applyAlignment="1" applyProtection="1">
      <alignment horizontal="right"/>
      <protection locked="0"/>
    </xf>
    <xf numFmtId="186" fontId="1" fillId="31" borderId="0" xfId="360" applyNumberFormat="1" applyFont="1" applyFill="1" applyAlignment="1" applyProtection="1">
      <alignment horizontal="right"/>
      <protection locked="0"/>
    </xf>
    <xf numFmtId="186" fontId="1" fillId="0" borderId="0" xfId="354" applyNumberFormat="1" applyFont="1" applyAlignment="1" applyProtection="1">
      <alignment horizontal="right"/>
      <protection locked="0"/>
    </xf>
    <xf numFmtId="186" fontId="1" fillId="0" borderId="0" xfId="353" applyNumberFormat="1" applyFont="1" applyAlignment="1" applyProtection="1">
      <alignment horizontal="right"/>
      <protection locked="0"/>
    </xf>
    <xf numFmtId="187" fontId="1" fillId="0" borderId="0" xfId="360" applyNumberFormat="1" applyFont="1" applyFill="1" applyAlignment="1" applyProtection="1">
      <alignment horizontal="right"/>
      <protection locked="0"/>
    </xf>
    <xf numFmtId="187" fontId="1" fillId="0" borderId="0" xfId="353" applyNumberFormat="1" applyFont="1" applyAlignment="1" applyProtection="1">
      <alignment horizontal="right"/>
      <protection locked="0"/>
    </xf>
    <xf numFmtId="188" fontId="1" fillId="0" borderId="0" xfId="353" applyNumberFormat="1" applyFont="1" applyAlignment="1" applyProtection="1">
      <alignment horizontal="center"/>
      <protection locked="0"/>
    </xf>
    <xf numFmtId="43" fontId="1" fillId="0" borderId="0" xfId="360" applyNumberFormat="1" applyFont="1" applyFill="1" applyAlignment="1" applyProtection="1">
      <alignment horizontal="right"/>
      <protection locked="0"/>
    </xf>
    <xf numFmtId="189" fontId="1" fillId="0" borderId="0" xfId="354" applyNumberFormat="1" applyFont="1" applyFill="1" applyAlignment="1" applyProtection="1">
      <alignment horizontal="right"/>
      <protection locked="0"/>
    </xf>
    <xf numFmtId="189" fontId="1" fillId="0" borderId="0" xfId="354" applyNumberFormat="1" applyFont="1" applyAlignment="1" applyProtection="1">
      <alignment horizontal="right"/>
      <protection locked="0"/>
    </xf>
    <xf numFmtId="189" fontId="1" fillId="0" borderId="0" xfId="353" applyNumberFormat="1" applyFont="1" applyAlignment="1" applyProtection="1">
      <alignment horizontal="right"/>
      <protection locked="0"/>
    </xf>
    <xf numFmtId="4" fontId="1" fillId="0" borderId="0" xfId="354" applyNumberFormat="1" applyFont="1" applyFill="1" applyAlignment="1" applyProtection="1">
      <alignment horizontal="right"/>
      <protection locked="0"/>
    </xf>
    <xf numFmtId="4" fontId="1" fillId="0" borderId="0" xfId="354" applyNumberFormat="1" applyFont="1" applyAlignment="1" applyProtection="1">
      <alignment horizontal="right"/>
      <protection locked="0"/>
    </xf>
    <xf numFmtId="4" fontId="42" fillId="0" borderId="0" xfId="350" applyNumberFormat="1" applyAlignment="1" applyProtection="1">
      <alignment horizontal="center"/>
      <protection locked="0"/>
    </xf>
    <xf numFmtId="185" fontId="1" fillId="0" borderId="0" xfId="354" applyNumberFormat="1" applyFont="1" applyFill="1" applyAlignment="1" applyProtection="1">
      <alignment horizontal="right"/>
      <protection locked="0"/>
    </xf>
    <xf numFmtId="185" fontId="1" fillId="0" borderId="0" xfId="353" applyNumberFormat="1" applyFont="1" applyAlignment="1" applyProtection="1">
      <alignment horizontal="right"/>
      <protection locked="0"/>
    </xf>
    <xf numFmtId="4" fontId="47" fillId="0" borderId="0" xfId="354" applyNumberFormat="1" applyFont="1" applyFill="1" applyAlignment="1" applyProtection="1">
      <alignment horizontal="right"/>
      <protection locked="0"/>
    </xf>
    <xf numFmtId="4" fontId="47" fillId="0" borderId="0" xfId="354" applyFont="1" applyAlignment="1" applyProtection="1">
      <alignment horizontal="right"/>
      <protection locked="0"/>
    </xf>
    <xf numFmtId="4" fontId="47" fillId="0" borderId="0" xfId="354" applyNumberFormat="1" applyFont="1" applyAlignment="1" applyProtection="1">
      <alignment horizontal="right"/>
      <protection locked="0"/>
    </xf>
    <xf numFmtId="190" fontId="47" fillId="0" borderId="0" xfId="353" applyNumberFormat="1" applyFont="1" applyAlignment="1" applyProtection="1">
      <alignment horizontal="center"/>
      <protection locked="0"/>
    </xf>
    <xf numFmtId="37" fontId="1" fillId="0" borderId="0" xfId="353" applyNumberFormat="1" applyFont="1" applyAlignment="1" applyProtection="1">
      <alignment horizontal="left" indent="2"/>
      <protection locked="0"/>
    </xf>
    <xf numFmtId="37" fontId="1" fillId="0" borderId="0" xfId="353" applyNumberFormat="1" applyFont="1" applyAlignment="1" applyProtection="1">
      <alignment horizontal="left" wrapText="1"/>
      <protection locked="0"/>
    </xf>
    <xf numFmtId="3" fontId="1" fillId="0" borderId="0" xfId="190" applyNumberFormat="1" applyFont="1" applyFill="1" applyAlignment="1">
      <alignment horizontal="right"/>
    </xf>
    <xf numFmtId="37" fontId="1" fillId="0" borderId="0" xfId="354" applyNumberFormat="1" applyFont="1" applyAlignment="1" applyProtection="1">
      <alignment horizontal="right"/>
      <protection locked="0"/>
    </xf>
    <xf numFmtId="37" fontId="1" fillId="0" borderId="0" xfId="353" applyNumberFormat="1" applyFont="1" applyAlignment="1" applyProtection="1">
      <alignment horizontal="center"/>
      <protection locked="0"/>
    </xf>
    <xf numFmtId="3" fontId="1" fillId="0" borderId="0" xfId="84" applyNumberFormat="1" applyFont="1" applyFill="1" applyAlignment="1">
      <alignment horizontal="right"/>
    </xf>
    <xf numFmtId="3" fontId="1" fillId="0" borderId="0" xfId="84" applyNumberFormat="1" applyFont="1" applyFill="1" applyAlignment="1" applyProtection="1">
      <alignment horizontal="right"/>
      <protection locked="0"/>
    </xf>
    <xf numFmtId="3" fontId="1" fillId="0" borderId="0" xfId="190" applyNumberFormat="1" applyFont="1" applyFill="1" applyAlignment="1" applyProtection="1">
      <alignment horizontal="right"/>
      <protection locked="0"/>
    </xf>
    <xf numFmtId="37" fontId="1" fillId="0" borderId="0" xfId="353" applyNumberFormat="1" applyFont="1" applyFill="1" applyAlignment="1" applyProtection="1">
      <alignment horizontal="left" indent="2"/>
      <protection locked="0"/>
    </xf>
    <xf numFmtId="37" fontId="1" fillId="0" borderId="0" xfId="353" applyNumberFormat="1" applyFont="1" applyFill="1" applyAlignment="1" applyProtection="1">
      <alignment horizontal="left" wrapText="1"/>
      <protection locked="0"/>
    </xf>
    <xf numFmtId="37" fontId="1" fillId="0" borderId="0" xfId="354" applyNumberFormat="1" applyFont="1" applyFill="1" applyAlignment="1" applyProtection="1">
      <alignment horizontal="right"/>
      <protection locked="0"/>
    </xf>
    <xf numFmtId="37" fontId="1" fillId="0" borderId="0" xfId="353" applyNumberFormat="1" applyFont="1" applyFill="1" applyAlignment="1" applyProtection="1">
      <alignment horizontal="center"/>
      <protection locked="0"/>
    </xf>
    <xf numFmtId="4" fontId="1" fillId="0" borderId="0" xfId="356" applyFont="1" applyFill="1" applyAlignment="1" applyProtection="1">
      <alignment horizontal="right"/>
      <protection locked="0"/>
    </xf>
    <xf numFmtId="37" fontId="1" fillId="0" borderId="0" xfId="353" applyNumberFormat="1" applyFont="1" applyAlignment="1" applyProtection="1">
      <alignment horizontal="right"/>
      <protection locked="0"/>
    </xf>
    <xf numFmtId="4" fontId="1" fillId="0" borderId="0" xfId="354" applyFont="1" applyFill="1" applyAlignment="1" applyProtection="1">
      <alignment horizontal="center"/>
      <protection locked="0"/>
    </xf>
    <xf numFmtId="3" fontId="48" fillId="0" borderId="0" xfId="354" applyNumberFormat="1" applyFont="1" applyFill="1" applyAlignment="1" applyProtection="1">
      <alignment horizontal="right"/>
      <protection locked="0"/>
    </xf>
    <xf numFmtId="0" fontId="1" fillId="0" borderId="0" xfId="84" applyFont="1" applyFill="1" applyAlignment="1" applyProtection="1">
      <alignment horizontal="right"/>
      <protection locked="0"/>
    </xf>
    <xf numFmtId="3" fontId="48" fillId="0" borderId="0" xfId="354" applyNumberFormat="1" applyFont="1" applyFill="1" applyAlignment="1" applyProtection="1">
      <alignment horizontal="center"/>
      <protection locked="0"/>
    </xf>
    <xf numFmtId="37" fontId="1" fillId="0" borderId="0" xfId="353" applyNumberFormat="1" applyFont="1" applyAlignment="1" applyProtection="1">
      <alignment horizontal="left" indent="1"/>
      <protection locked="0"/>
    </xf>
    <xf numFmtId="0" fontId="47" fillId="0" borderId="0" xfId="353" applyNumberFormat="1" applyFont="1" applyAlignment="1">
      <alignment horizontal="left"/>
    </xf>
    <xf numFmtId="0" fontId="1" fillId="0" borderId="0" xfId="353" quotePrefix="1" applyNumberFormat="1" applyFont="1" applyAlignment="1">
      <alignment horizontal="left" indent="1"/>
    </xf>
    <xf numFmtId="3" fontId="45" fillId="0" borderId="0" xfId="353" applyNumberFormat="1" applyFont="1" applyAlignment="1">
      <alignment horizontal="right"/>
    </xf>
    <xf numFmtId="0" fontId="1" fillId="0" borderId="0" xfId="353" quotePrefix="1" applyNumberFormat="1" applyFont="1" applyAlignment="1">
      <alignment horizontal="left"/>
    </xf>
    <xf numFmtId="3" fontId="1" fillId="0" borderId="0" xfId="353" applyNumberFormat="1" applyFont="1" applyBorder="1" applyAlignment="1">
      <alignment horizontal="right"/>
    </xf>
    <xf numFmtId="0" fontId="1" fillId="0" borderId="0" xfId="353" applyNumberFormat="1" applyFont="1" applyAlignment="1">
      <alignment horizontal="left" indent="1"/>
    </xf>
    <xf numFmtId="3" fontId="61" fillId="0" borderId="0" xfId="295" applyNumberFormat="1" applyFont="1" applyFill="1" applyBorder="1"/>
    <xf numFmtId="5" fontId="1" fillId="0" borderId="0" xfId="289" applyNumberFormat="1" applyFont="1" applyBorder="1" applyAlignment="1" applyProtection="1">
      <alignment horizontal="center"/>
      <protection locked="0"/>
    </xf>
    <xf numFmtId="168" fontId="61" fillId="0" borderId="0" xfId="214" applyNumberFormat="1" applyFont="1" applyFill="1" applyBorder="1"/>
    <xf numFmtId="0" fontId="61" fillId="0" borderId="0" xfId="212" applyFont="1" applyFill="1" applyBorder="1"/>
    <xf numFmtId="178" fontId="1" fillId="0" borderId="0" xfId="353" applyNumberFormat="1" applyFont="1" applyAlignment="1" applyProtection="1">
      <alignment horizontal="right"/>
      <protection locked="0"/>
    </xf>
    <xf numFmtId="168" fontId="61" fillId="0" borderId="0" xfId="334" applyNumberFormat="1" applyFont="1" applyFill="1" applyBorder="1"/>
    <xf numFmtId="168" fontId="61" fillId="0" borderId="0" xfId="335" applyNumberFormat="1" applyFont="1" applyFill="1" applyBorder="1"/>
    <xf numFmtId="168" fontId="61" fillId="0" borderId="0" xfId="335" applyNumberFormat="1" applyFont="1" applyBorder="1"/>
    <xf numFmtId="169" fontId="61" fillId="0" borderId="0" xfId="152" applyNumberFormat="1" applyFont="1" applyFill="1" applyBorder="1"/>
    <xf numFmtId="169" fontId="61" fillId="0" borderId="0" xfId="152" applyNumberFormat="1" applyFont="1" applyBorder="1"/>
    <xf numFmtId="169" fontId="61" fillId="0" borderId="0" xfId="295" applyNumberFormat="1" applyFont="1" applyBorder="1"/>
    <xf numFmtId="49" fontId="65" fillId="0" borderId="0" xfId="353" applyNumberFormat="1" applyFont="1" applyAlignment="1" applyProtection="1">
      <alignment horizontal="left" wrapText="1"/>
      <protection locked="0"/>
    </xf>
    <xf numFmtId="168" fontId="61" fillId="0" borderId="0" xfId="336" applyNumberFormat="1" applyFont="1" applyBorder="1"/>
    <xf numFmtId="168" fontId="61" fillId="0" borderId="0" xfId="337" applyNumberFormat="1" applyFont="1" applyFill="1" applyBorder="1"/>
    <xf numFmtId="168" fontId="61" fillId="0" borderId="0" xfId="295" applyNumberFormat="1" applyFont="1" applyBorder="1"/>
    <xf numFmtId="169" fontId="1" fillId="0" borderId="0" xfId="289" applyNumberFormat="1" applyFont="1" applyBorder="1" applyAlignment="1" applyProtection="1">
      <alignment horizontal="center"/>
      <protection locked="0"/>
    </xf>
    <xf numFmtId="169" fontId="61" fillId="0" borderId="0" xfId="295" applyNumberFormat="1" applyFont="1" applyFill="1" applyBorder="1"/>
    <xf numFmtId="168" fontId="61" fillId="0" borderId="0" xfId="338" applyNumberFormat="1" applyFont="1" applyFill="1" applyBorder="1"/>
    <xf numFmtId="168" fontId="61" fillId="0" borderId="0" xfId="339" applyNumberFormat="1" applyFont="1" applyFill="1" applyBorder="1"/>
    <xf numFmtId="168" fontId="61" fillId="0" borderId="0" xfId="295" applyNumberFormat="1" applyFont="1" applyFill="1" applyBorder="1"/>
    <xf numFmtId="168" fontId="1" fillId="0" borderId="0" xfId="360" applyNumberFormat="1" applyFont="1" applyBorder="1" applyAlignment="1" applyProtection="1">
      <alignment horizontal="right"/>
      <protection locked="0"/>
    </xf>
    <xf numFmtId="168" fontId="61" fillId="0" borderId="0" xfId="215" applyNumberFormat="1" applyFont="1" applyFill="1" applyBorder="1"/>
    <xf numFmtId="168" fontId="61" fillId="0" borderId="0" xfId="342" applyNumberFormat="1" applyFont="1" applyFill="1" applyBorder="1"/>
    <xf numFmtId="178" fontId="61" fillId="0" borderId="0" xfId="152" applyNumberFormat="1" applyFont="1" applyFill="1" applyBorder="1"/>
    <xf numFmtId="44" fontId="61" fillId="0" borderId="0" xfId="295" applyNumberFormat="1" applyFont="1" applyFill="1" applyBorder="1"/>
    <xf numFmtId="0" fontId="61" fillId="0" borderId="0" xfId="295" applyFont="1" applyFill="1" applyBorder="1"/>
    <xf numFmtId="168" fontId="61" fillId="0" borderId="0" xfId="341" applyNumberFormat="1" applyFont="1" applyFill="1" applyBorder="1"/>
    <xf numFmtId="168" fontId="61" fillId="0" borderId="0" xfId="212" applyNumberFormat="1" applyFont="1" applyFill="1" applyBorder="1"/>
    <xf numFmtId="168" fontId="1" fillId="0" borderId="0" xfId="353" applyNumberFormat="1" applyFont="1" applyBorder="1" applyAlignment="1" applyProtection="1">
      <alignment horizontal="center"/>
      <protection locked="0"/>
    </xf>
    <xf numFmtId="49" fontId="6" fillId="0" borderId="0" xfId="353" applyNumberFormat="1" applyFont="1" applyAlignment="1" applyProtection="1">
      <alignment horizontal="left" wrapText="1"/>
      <protection locked="0"/>
    </xf>
    <xf numFmtId="1" fontId="61" fillId="0" borderId="0" xfId="295" applyNumberFormat="1" applyFont="1" applyFill="1" applyBorder="1"/>
    <xf numFmtId="1" fontId="61" fillId="0" borderId="0" xfId="343" applyNumberFormat="1" applyFont="1" applyFill="1" applyBorder="1"/>
    <xf numFmtId="169" fontId="61" fillId="0" borderId="0" xfId="343" applyNumberFormat="1" applyFont="1" applyFill="1" applyBorder="1"/>
    <xf numFmtId="4" fontId="1" fillId="0" borderId="0" xfId="360" applyFont="1" applyBorder="1" applyAlignment="1" applyProtection="1">
      <alignment horizontal="center"/>
      <protection locked="0"/>
    </xf>
    <xf numFmtId="0" fontId="3" fillId="0" borderId="0" xfId="295" applyNumberFormat="1"/>
    <xf numFmtId="0" fontId="3" fillId="0" borderId="0" xfId="295"/>
    <xf numFmtId="168" fontId="3" fillId="0" borderId="0" xfId="344" applyNumberFormat="1" applyFont="1"/>
    <xf numFmtId="168" fontId="3" fillId="0" borderId="0" xfId="345" applyNumberFormat="1" applyFont="1"/>
    <xf numFmtId="0" fontId="41" fillId="0" borderId="0" xfId="349" applyAlignment="1">
      <alignment wrapText="1"/>
    </xf>
    <xf numFmtId="4" fontId="1" fillId="0" borderId="0" xfId="360" applyFont="1" applyAlignment="1">
      <alignment vertical="top" wrapText="1"/>
    </xf>
    <xf numFmtId="4" fontId="41" fillId="0" borderId="0" xfId="349" applyNumberFormat="1" applyAlignment="1">
      <alignment wrapText="1"/>
    </xf>
    <xf numFmtId="0" fontId="1" fillId="0" borderId="0" xfId="349" applyFont="1" applyAlignment="1">
      <alignment vertical="center" wrapText="1"/>
    </xf>
    <xf numFmtId="37" fontId="1" fillId="0" borderId="0" xfId="92" applyNumberFormat="1" applyFont="1" applyAlignment="1" applyProtection="1">
      <alignment horizontal="right"/>
      <protection locked="0"/>
    </xf>
    <xf numFmtId="37" fontId="1" fillId="0" borderId="0" xfId="353" applyNumberFormat="1" applyFont="1" applyAlignment="1" applyProtection="1">
      <protection locked="0"/>
    </xf>
    <xf numFmtId="177" fontId="1" fillId="0" borderId="0" xfId="353" applyNumberFormat="1" applyFont="1" applyBorder="1" applyAlignment="1" applyProtection="1">
      <alignment horizontal="right"/>
      <protection locked="0"/>
    </xf>
    <xf numFmtId="49" fontId="1" fillId="0" borderId="0" xfId="353" applyNumberFormat="1" applyFont="1" applyBorder="1" applyAlignment="1" applyProtection="1">
      <protection locked="0"/>
    </xf>
    <xf numFmtId="191" fontId="1" fillId="0" borderId="0" xfId="353" applyNumberFormat="1" applyFont="1" applyBorder="1" applyAlignment="1" applyProtection="1">
      <protection locked="0"/>
    </xf>
    <xf numFmtId="182" fontId="1" fillId="0" borderId="0" xfId="353" applyNumberFormat="1" applyFont="1" applyAlignment="1" applyProtection="1">
      <protection locked="0"/>
    </xf>
    <xf numFmtId="169" fontId="1" fillId="0" borderId="0" xfId="89" applyNumberFormat="1" applyFont="1" applyAlignment="1" applyProtection="1">
      <alignment horizontal="right"/>
      <protection locked="0"/>
    </xf>
    <xf numFmtId="0" fontId="66" fillId="0" borderId="0" xfId="349" applyFont="1"/>
    <xf numFmtId="4" fontId="0" fillId="0" borderId="0" xfId="353" applyFont="1" applyAlignment="1">
      <alignment horizontal="left"/>
    </xf>
    <xf numFmtId="1" fontId="47" fillId="0" borderId="0" xfId="353" applyNumberFormat="1" applyFont="1" applyAlignment="1" applyProtection="1">
      <alignment horizontal="center"/>
      <protection locked="0"/>
    </xf>
    <xf numFmtId="173" fontId="1" fillId="0" borderId="0" xfId="353" applyNumberFormat="1" applyFont="1" applyAlignment="1" applyProtection="1">
      <protection locked="0"/>
    </xf>
    <xf numFmtId="5" fontId="1" fillId="0" borderId="0" xfId="353" quotePrefix="1" applyNumberFormat="1" applyFont="1" applyFill="1" applyAlignment="1" applyProtection="1">
      <alignment horizontal="left" indent="3"/>
      <protection locked="0"/>
    </xf>
    <xf numFmtId="5" fontId="1" fillId="0" borderId="0" xfId="353" applyNumberFormat="1" applyFont="1" applyAlignment="1" applyProtection="1">
      <alignment horizontal="left" wrapText="1"/>
      <protection locked="0"/>
    </xf>
    <xf numFmtId="5" fontId="1" fillId="0" borderId="0" xfId="353" applyNumberFormat="1" applyFont="1" applyAlignment="1" applyProtection="1">
      <protection locked="0"/>
    </xf>
    <xf numFmtId="49" fontId="1" fillId="0" borderId="0" xfId="353" quotePrefix="1" applyNumberFormat="1" applyFont="1" applyFill="1" applyAlignment="1" applyProtection="1">
      <alignment horizontal="left" indent="3"/>
      <protection locked="0"/>
    </xf>
    <xf numFmtId="4" fontId="1" fillId="0" borderId="0" xfId="353" quotePrefix="1" applyFont="1" applyFill="1" applyAlignment="1">
      <alignment horizontal="left" indent="3"/>
    </xf>
    <xf numFmtId="5" fontId="1" fillId="0" borderId="0" xfId="353" applyNumberFormat="1" applyAlignment="1"/>
    <xf numFmtId="5" fontId="1" fillId="0" borderId="0" xfId="353" applyNumberFormat="1" applyAlignment="1">
      <alignment horizontal="right"/>
    </xf>
    <xf numFmtId="4" fontId="1" fillId="0" borderId="0" xfId="353" quotePrefix="1" applyFont="1" applyAlignment="1">
      <alignment horizontal="left" indent="2"/>
    </xf>
    <xf numFmtId="169" fontId="1" fillId="0" borderId="0" xfId="353" applyNumberFormat="1" applyFont="1" applyFill="1" applyAlignment="1" applyProtection="1">
      <alignment horizontal="left" indent="3"/>
      <protection locked="0"/>
    </xf>
    <xf numFmtId="169" fontId="1" fillId="0" borderId="0" xfId="353" applyNumberFormat="1" applyFont="1" applyAlignment="1" applyProtection="1">
      <alignment horizontal="left" wrapText="1"/>
      <protection locked="0"/>
    </xf>
    <xf numFmtId="5" fontId="1" fillId="33" borderId="0" xfId="353" quotePrefix="1" applyNumberFormat="1" applyFont="1" applyFill="1" applyAlignment="1" applyProtection="1">
      <alignment horizontal="left" indent="3"/>
      <protection locked="0"/>
    </xf>
    <xf numFmtId="49" fontId="1" fillId="33" borderId="0" xfId="353" applyNumberFormat="1" applyFont="1" applyFill="1" applyAlignment="1" applyProtection="1">
      <alignment horizontal="left" indent="3"/>
      <protection locked="0"/>
    </xf>
    <xf numFmtId="192" fontId="1" fillId="0" borderId="0" xfId="353" applyNumberFormat="1" applyFont="1" applyAlignment="1" applyProtection="1">
      <alignment horizontal="right"/>
      <protection locked="0"/>
    </xf>
    <xf numFmtId="192" fontId="1" fillId="0" borderId="0" xfId="353" applyNumberFormat="1" applyFont="1" applyAlignment="1" applyProtection="1">
      <alignment horizontal="center"/>
      <protection locked="0"/>
    </xf>
    <xf numFmtId="3" fontId="1" fillId="0" borderId="0" xfId="353" applyNumberFormat="1" applyFont="1" applyAlignment="1" applyProtection="1">
      <alignment horizontal="left" indent="3"/>
      <protection locked="0"/>
    </xf>
    <xf numFmtId="6" fontId="1" fillId="0" borderId="0" xfId="353" applyNumberFormat="1" applyFont="1" applyAlignment="1" applyProtection="1">
      <alignment horizontal="center"/>
      <protection locked="0"/>
    </xf>
    <xf numFmtId="1" fontId="1" fillId="0" borderId="0" xfId="353" applyNumberFormat="1" applyFont="1" applyAlignment="1" applyProtection="1">
      <alignment horizontal="left" indent="1"/>
      <protection locked="0"/>
    </xf>
    <xf numFmtId="1" fontId="1" fillId="0" borderId="0" xfId="353" applyNumberFormat="1" applyFont="1" applyAlignment="1" applyProtection="1">
      <alignment horizontal="left" wrapText="1"/>
      <protection locked="0"/>
    </xf>
    <xf numFmtId="4" fontId="1" fillId="0" borderId="0" xfId="353" applyNumberFormat="1" applyAlignment="1">
      <alignment horizontal="left"/>
    </xf>
    <xf numFmtId="4" fontId="1" fillId="0" borderId="0" xfId="353" applyNumberFormat="1" applyAlignment="1">
      <alignment horizontal="right"/>
    </xf>
    <xf numFmtId="3" fontId="45" fillId="0" borderId="0" xfId="353" applyNumberFormat="1" applyFont="1"/>
    <xf numFmtId="3" fontId="45" fillId="0" borderId="12" xfId="353" applyNumberFormat="1" applyFont="1" applyBorder="1" applyAlignment="1">
      <alignment horizontal="center"/>
    </xf>
    <xf numFmtId="3" fontId="45" fillId="0" borderId="14" xfId="353" applyNumberFormat="1" applyFont="1" applyBorder="1" applyAlignment="1">
      <alignment horizontal="center"/>
    </xf>
    <xf numFmtId="3" fontId="45" fillId="0" borderId="16" xfId="353" applyNumberFormat="1" applyFont="1" applyBorder="1" applyAlignment="1">
      <alignment horizontal="center"/>
    </xf>
    <xf numFmtId="3" fontId="1" fillId="0" borderId="0" xfId="353" applyNumberFormat="1" applyAlignment="1" applyProtection="1">
      <protection locked="0"/>
    </xf>
    <xf numFmtId="3" fontId="41" fillId="0" borderId="0" xfId="349" applyNumberFormat="1" applyAlignment="1"/>
    <xf numFmtId="0" fontId="41" fillId="0" borderId="0" xfId="349" applyAlignment="1">
      <alignment horizontal="left" wrapText="1"/>
    </xf>
    <xf numFmtId="4" fontId="41" fillId="0" borderId="0" xfId="349" applyNumberFormat="1" applyAlignment="1">
      <alignment horizontal="left" wrapText="1"/>
    </xf>
    <xf numFmtId="4" fontId="0" fillId="0" borderId="0" xfId="353" applyFont="1" applyAlignment="1">
      <alignment horizontal="left" vertical="top"/>
    </xf>
    <xf numFmtId="168" fontId="1" fillId="0" borderId="0" xfId="354" applyNumberFormat="1" applyFont="1" applyAlignment="1" applyProtection="1">
      <protection locked="0"/>
    </xf>
    <xf numFmtId="168" fontId="1" fillId="0" borderId="0" xfId="360" applyNumberFormat="1" applyFont="1" applyAlignment="1" applyProtection="1">
      <protection locked="0"/>
    </xf>
    <xf numFmtId="176" fontId="1" fillId="0" borderId="0" xfId="361" applyNumberFormat="1" applyFont="1" applyFill="1" applyAlignment="1" applyProtection="1">
      <alignment horizontal="right"/>
      <protection locked="0"/>
    </xf>
    <xf numFmtId="176" fontId="1" fillId="0" borderId="0" xfId="353" applyNumberFormat="1" applyFont="1" applyFill="1" applyAlignment="1" applyProtection="1">
      <alignment horizontal="right"/>
      <protection locked="0"/>
    </xf>
    <xf numFmtId="193" fontId="1" fillId="0" borderId="0" xfId="361" applyNumberFormat="1" applyFont="1" applyFill="1" applyAlignment="1" applyProtection="1">
      <alignment horizontal="right"/>
      <protection locked="0"/>
    </xf>
    <xf numFmtId="193" fontId="1" fillId="0" borderId="0" xfId="353" applyNumberFormat="1" applyFont="1" applyFill="1" applyAlignment="1" applyProtection="1">
      <alignment horizontal="right"/>
      <protection locked="0"/>
    </xf>
    <xf numFmtId="193" fontId="1" fillId="0" borderId="0" xfId="353" applyNumberFormat="1" applyFont="1" applyAlignment="1" applyProtection="1">
      <alignment horizontal="right"/>
      <protection locked="0"/>
    </xf>
    <xf numFmtId="169" fontId="1" fillId="0" borderId="0" xfId="361" applyNumberFormat="1" applyFont="1" applyFill="1" applyAlignment="1" applyProtection="1">
      <alignment horizontal="right"/>
      <protection locked="0"/>
    </xf>
    <xf numFmtId="4" fontId="47" fillId="0" borderId="0" xfId="361" applyFont="1" applyFill="1" applyAlignment="1" applyProtection="1">
      <alignment horizontal="right"/>
      <protection locked="0"/>
    </xf>
    <xf numFmtId="169" fontId="1" fillId="0" borderId="0" xfId="358" applyNumberFormat="1" applyFont="1" applyFill="1" applyAlignment="1" applyProtection="1">
      <alignment horizontal="right"/>
      <protection locked="0"/>
    </xf>
    <xf numFmtId="173" fontId="1" fillId="0" borderId="0" xfId="361" applyNumberFormat="1" applyFont="1" applyFill="1" applyAlignment="1" applyProtection="1">
      <alignment horizontal="right"/>
      <protection locked="0"/>
    </xf>
    <xf numFmtId="173" fontId="1" fillId="0" borderId="0" xfId="358" applyNumberFormat="1" applyFont="1" applyFill="1" applyAlignment="1" applyProtection="1">
      <alignment horizontal="right"/>
      <protection locked="0"/>
    </xf>
    <xf numFmtId="173" fontId="1" fillId="0" borderId="0" xfId="353" applyNumberFormat="1" applyFont="1" applyFill="1" applyAlignment="1" applyProtection="1">
      <alignment horizontal="right"/>
      <protection locked="0"/>
    </xf>
    <xf numFmtId="4" fontId="1" fillId="0" borderId="0" xfId="361" applyFont="1" applyFill="1" applyAlignment="1" applyProtection="1">
      <alignment horizontal="right"/>
      <protection locked="0"/>
    </xf>
    <xf numFmtId="49" fontId="47" fillId="0" borderId="0" xfId="353" applyNumberFormat="1" applyFont="1" applyFill="1" applyAlignment="1" applyProtection="1">
      <alignment horizontal="left" indent="1"/>
      <protection locked="0"/>
    </xf>
    <xf numFmtId="0" fontId="47" fillId="0" borderId="0" xfId="353" applyNumberFormat="1" applyFont="1" applyFill="1" applyAlignment="1" applyProtection="1">
      <alignment horizontal="right"/>
      <protection locked="0"/>
    </xf>
    <xf numFmtId="0" fontId="1" fillId="0" borderId="0" xfId="361" applyNumberFormat="1" applyFont="1" applyFill="1" applyAlignment="1" applyProtection="1">
      <alignment horizontal="right"/>
      <protection locked="0"/>
    </xf>
    <xf numFmtId="0" fontId="1" fillId="0" borderId="0" xfId="358" applyNumberFormat="1" applyFont="1" applyFill="1" applyAlignment="1" applyProtection="1">
      <alignment horizontal="right"/>
      <protection locked="0"/>
    </xf>
    <xf numFmtId="0" fontId="1" fillId="0" borderId="0" xfId="353" applyNumberFormat="1" applyFont="1" applyFill="1" applyAlignment="1" applyProtection="1">
      <alignment horizontal="right"/>
      <protection locked="0"/>
    </xf>
    <xf numFmtId="168" fontId="1" fillId="0" borderId="0" xfId="360" applyNumberFormat="1" applyFont="1" applyAlignment="1" applyProtection="1">
      <alignment horizontal="center"/>
      <protection locked="0"/>
    </xf>
    <xf numFmtId="168" fontId="1" fillId="0" borderId="0" xfId="360" applyNumberFormat="1" applyFont="1" applyFill="1" applyAlignment="1" applyProtection="1">
      <protection locked="0"/>
    </xf>
    <xf numFmtId="168" fontId="47" fillId="0" borderId="0" xfId="92" applyNumberFormat="1" applyFont="1" applyAlignment="1" applyProtection="1">
      <alignment horizontal="right"/>
      <protection locked="0"/>
    </xf>
    <xf numFmtId="168" fontId="1" fillId="0" borderId="0" xfId="358" applyNumberFormat="1" applyFont="1" applyAlignment="1" applyProtection="1">
      <protection locked="0"/>
    </xf>
    <xf numFmtId="4" fontId="1" fillId="0" borderId="0" xfId="354" applyFont="1" applyFill="1" applyAlignment="1">
      <alignment horizontal="left" vertical="top" indent="1"/>
    </xf>
    <xf numFmtId="4" fontId="1" fillId="0" borderId="0" xfId="354" applyFont="1" applyFill="1" applyAlignment="1">
      <alignment horizontal="left" vertical="top" wrapText="1" indent="1"/>
    </xf>
    <xf numFmtId="4" fontId="1" fillId="0" borderId="0" xfId="354"/>
    <xf numFmtId="4" fontId="1" fillId="0" borderId="0" xfId="353" applyFont="1" applyAlignment="1">
      <alignment vertical="top"/>
    </xf>
    <xf numFmtId="169" fontId="1" fillId="0" borderId="0" xfId="355" applyNumberFormat="1" applyFont="1" applyAlignment="1" applyProtection="1">
      <alignment horizontal="right"/>
      <protection locked="0"/>
    </xf>
    <xf numFmtId="4" fontId="1" fillId="0" borderId="0" xfId="355" applyFont="1" applyFill="1" applyAlignment="1" applyProtection="1">
      <alignment horizontal="right"/>
      <protection locked="0"/>
    </xf>
    <xf numFmtId="4" fontId="47" fillId="0" borderId="0" xfId="355" applyFont="1" applyAlignment="1" applyProtection="1">
      <alignment horizontal="right"/>
      <protection locked="0"/>
    </xf>
    <xf numFmtId="4" fontId="47" fillId="0" borderId="0" xfId="355" applyFont="1" applyFill="1" applyAlignment="1" applyProtection="1">
      <alignment horizontal="right"/>
      <protection locked="0"/>
    </xf>
    <xf numFmtId="3" fontId="1" fillId="0" borderId="0" xfId="349" applyNumberFormat="1" applyFont="1" applyAlignment="1">
      <alignment horizontal="right" vertical="center"/>
    </xf>
    <xf numFmtId="3" fontId="1" fillId="0" borderId="0" xfId="349" applyNumberFormat="1" applyFont="1" applyFill="1" applyAlignment="1">
      <alignment horizontal="right" vertical="center"/>
    </xf>
    <xf numFmtId="0" fontId="38" fillId="0" borderId="0" xfId="349" applyFont="1" applyAlignment="1">
      <alignment horizontal="right"/>
    </xf>
    <xf numFmtId="0" fontId="38" fillId="0" borderId="0" xfId="349" applyFont="1" applyFill="1" applyAlignment="1">
      <alignment horizontal="right"/>
    </xf>
    <xf numFmtId="176" fontId="1" fillId="0" borderId="0" xfId="355" applyNumberFormat="1" applyFont="1" applyAlignment="1" applyProtection="1">
      <alignment horizontal="right"/>
      <protection locked="0"/>
    </xf>
    <xf numFmtId="176" fontId="1" fillId="0" borderId="0" xfId="355" applyNumberFormat="1" applyFont="1" applyFill="1" applyAlignment="1" applyProtection="1">
      <alignment horizontal="right"/>
      <protection locked="0"/>
    </xf>
    <xf numFmtId="178" fontId="50" fillId="0" borderId="0" xfId="355" applyNumberFormat="1" applyFont="1" applyFill="1" applyAlignment="1" applyProtection="1">
      <alignment horizontal="center"/>
      <protection locked="0"/>
    </xf>
    <xf numFmtId="178" fontId="1" fillId="0" borderId="0" xfId="353" applyNumberFormat="1" applyFont="1" applyFill="1" applyAlignment="1" applyProtection="1">
      <alignment horizontal="center"/>
      <protection locked="0"/>
    </xf>
    <xf numFmtId="0" fontId="1" fillId="0" borderId="0" xfId="349" applyFont="1" applyBorder="1"/>
    <xf numFmtId="168" fontId="1" fillId="0" borderId="0" xfId="355" applyNumberFormat="1" applyFont="1" applyFill="1" applyAlignment="1" applyProtection="1">
      <alignment horizontal="right"/>
      <protection locked="0"/>
    </xf>
    <xf numFmtId="168" fontId="1" fillId="0" borderId="0" xfId="92" applyNumberFormat="1" applyFont="1" applyFill="1" applyAlignment="1" applyProtection="1">
      <alignment horizontal="center"/>
      <protection locked="0"/>
    </xf>
    <xf numFmtId="179" fontId="1" fillId="0" borderId="0" xfId="289" applyNumberFormat="1" applyFont="1" applyAlignment="1" applyProtection="1">
      <alignment horizontal="right"/>
      <protection locked="0"/>
    </xf>
    <xf numFmtId="179" fontId="1" fillId="0" borderId="0" xfId="92" applyNumberFormat="1" applyFont="1" applyFill="1" applyAlignment="1" applyProtection="1">
      <protection locked="0"/>
    </xf>
    <xf numFmtId="177" fontId="1" fillId="0" borderId="0" xfId="92" applyNumberFormat="1" applyFont="1" applyFill="1" applyAlignment="1" applyProtection="1">
      <alignment horizontal="center"/>
      <protection locked="0"/>
    </xf>
    <xf numFmtId="179" fontId="1" fillId="0" borderId="0" xfId="92" applyNumberFormat="1" applyFont="1" applyFill="1" applyAlignment="1" applyProtection="1">
      <alignment horizontal="right"/>
      <protection locked="0"/>
    </xf>
    <xf numFmtId="179" fontId="1" fillId="0" borderId="0" xfId="92" applyNumberFormat="1" applyFont="1" applyFill="1" applyAlignment="1" applyProtection="1">
      <alignment horizontal="center"/>
      <protection locked="0"/>
    </xf>
    <xf numFmtId="179" fontId="1" fillId="0" borderId="0" xfId="353" applyNumberFormat="1" applyFont="1" applyAlignment="1" applyProtection="1">
      <alignment horizontal="right"/>
      <protection locked="0"/>
    </xf>
    <xf numFmtId="49" fontId="47" fillId="0" borderId="0" xfId="353" quotePrefix="1" applyNumberFormat="1" applyFont="1" applyAlignment="1" applyProtection="1">
      <alignment horizontal="left"/>
      <protection locked="0"/>
    </xf>
    <xf numFmtId="49" fontId="1" fillId="0" borderId="0" xfId="353" quotePrefix="1" applyNumberFormat="1" applyFont="1" applyAlignment="1" applyProtection="1">
      <alignment horizontal="left" indent="1"/>
      <protection locked="0"/>
    </xf>
    <xf numFmtId="49" fontId="1" fillId="0" borderId="0" xfId="353" quotePrefix="1" applyNumberFormat="1" applyFont="1" applyFill="1" applyAlignment="1" applyProtection="1">
      <alignment horizontal="left" indent="1"/>
      <protection locked="0"/>
    </xf>
    <xf numFmtId="170" fontId="1" fillId="0" borderId="0" xfId="353" applyNumberFormat="1" applyFont="1" applyFill="1" applyAlignment="1" applyProtection="1">
      <protection locked="0"/>
    </xf>
    <xf numFmtId="170" fontId="1" fillId="0" borderId="0" xfId="5" applyNumberFormat="1" applyFont="1" applyFill="1" applyAlignment="1" applyProtection="1">
      <protection locked="0"/>
    </xf>
    <xf numFmtId="170" fontId="1" fillId="0" borderId="0" xfId="353" applyNumberFormat="1" applyFont="1" applyBorder="1" applyAlignment="1" applyProtection="1">
      <protection locked="0"/>
    </xf>
    <xf numFmtId="49" fontId="1" fillId="0" borderId="0" xfId="353" quotePrefix="1" applyNumberFormat="1" applyFont="1" applyAlignment="1" applyProtection="1">
      <alignment horizontal="left"/>
      <protection locked="0"/>
    </xf>
    <xf numFmtId="189" fontId="1" fillId="0" borderId="0" xfId="353" applyNumberFormat="1" applyFont="1" applyAlignment="1" applyProtection="1">
      <alignment horizontal="center"/>
      <protection locked="0"/>
    </xf>
    <xf numFmtId="3" fontId="1" fillId="0" borderId="0" xfId="349" applyNumberFormat="1" applyFont="1" applyFill="1" applyAlignment="1" applyProtection="1">
      <protection locked="0"/>
    </xf>
    <xf numFmtId="170" fontId="1" fillId="0" borderId="0" xfId="349" applyNumberFormat="1" applyFont="1" applyFill="1" applyAlignment="1" applyProtection="1">
      <protection locked="0"/>
    </xf>
    <xf numFmtId="170" fontId="47" fillId="0" borderId="0" xfId="5" applyNumberFormat="1" applyFont="1" applyAlignment="1" applyProtection="1">
      <alignment horizontal="center"/>
      <protection locked="0"/>
    </xf>
    <xf numFmtId="170" fontId="1" fillId="0" borderId="0" xfId="5" applyNumberFormat="1" applyFont="1" applyAlignment="1" applyProtection="1">
      <alignment horizontal="center"/>
      <protection locked="0"/>
    </xf>
    <xf numFmtId="4" fontId="50" fillId="0" borderId="0" xfId="353" applyFont="1" applyAlignment="1" applyProtection="1">
      <alignment horizontal="center"/>
      <protection locked="0"/>
    </xf>
    <xf numFmtId="4" fontId="47" fillId="0" borderId="0" xfId="354" applyFont="1" applyFill="1" applyAlignment="1" applyProtection="1">
      <alignment horizontal="center"/>
      <protection locked="0"/>
    </xf>
    <xf numFmtId="49" fontId="1" fillId="0" borderId="0" xfId="354" applyNumberFormat="1" applyFont="1" applyFill="1" applyAlignment="1" applyProtection="1">
      <alignment horizontal="left" indent="2"/>
      <protection locked="0"/>
    </xf>
    <xf numFmtId="49" fontId="1" fillId="0" borderId="0" xfId="354" applyNumberFormat="1" applyFont="1" applyFill="1" applyAlignment="1" applyProtection="1">
      <alignment horizontal="left" indent="1"/>
      <protection locked="0"/>
    </xf>
    <xf numFmtId="49" fontId="1" fillId="0" borderId="0" xfId="354" applyNumberFormat="1" applyFont="1" applyFill="1" applyAlignment="1" applyProtection="1">
      <alignment horizontal="left" wrapText="1"/>
      <protection locked="0"/>
    </xf>
    <xf numFmtId="7" fontId="1" fillId="0" borderId="0" xfId="354" applyNumberFormat="1" applyFont="1" applyFill="1" applyAlignment="1" applyProtection="1">
      <alignment horizontal="right"/>
      <protection locked="0"/>
    </xf>
    <xf numFmtId="7" fontId="1" fillId="0" borderId="0" xfId="353" applyNumberFormat="1" applyFont="1" applyAlignment="1" applyProtection="1">
      <alignment horizontal="right"/>
      <protection locked="0"/>
    </xf>
    <xf numFmtId="49" fontId="1" fillId="0" borderId="0" xfId="354" applyNumberFormat="1" applyFont="1" applyFill="1" applyAlignment="1" applyProtection="1">
      <alignment horizontal="left" wrapText="1" indent="2"/>
      <protection locked="0"/>
    </xf>
    <xf numFmtId="4" fontId="1" fillId="0" borderId="0" xfId="354" applyFont="1" applyFill="1" applyAlignment="1">
      <alignment horizontal="left" wrapText="1"/>
    </xf>
    <xf numFmtId="3" fontId="1" fillId="0" borderId="0" xfId="356" applyNumberFormat="1"/>
    <xf numFmtId="3" fontId="1" fillId="0" borderId="0" xfId="356" applyNumberFormat="1" applyFont="1"/>
    <xf numFmtId="3" fontId="1" fillId="0" borderId="0" xfId="356" applyNumberFormat="1" applyFill="1" applyAlignment="1">
      <alignment horizontal="right"/>
    </xf>
    <xf numFmtId="3" fontId="1" fillId="0" borderId="0" xfId="356" applyNumberFormat="1" applyAlignment="1">
      <alignment horizontal="right"/>
    </xf>
    <xf numFmtId="0" fontId="67" fillId="0" borderId="0" xfId="349" applyFont="1"/>
    <xf numFmtId="49" fontId="1" fillId="0" borderId="0" xfId="356" applyNumberFormat="1" applyFont="1"/>
    <xf numFmtId="38" fontId="1" fillId="0" borderId="0" xfId="353" applyNumberFormat="1" applyFont="1" applyAlignment="1" applyProtection="1">
      <alignment horizontal="right"/>
      <protection locked="0"/>
    </xf>
    <xf numFmtId="3" fontId="1" fillId="0" borderId="0" xfId="356" applyNumberFormat="1" applyFill="1"/>
    <xf numFmtId="3" fontId="1" fillId="0" borderId="0" xfId="356" applyNumberFormat="1" applyFont="1" applyAlignment="1">
      <alignment horizontal="right"/>
    </xf>
    <xf numFmtId="37" fontId="1" fillId="0" borderId="0" xfId="353" applyNumberFormat="1" applyAlignment="1">
      <alignment horizontal="center"/>
    </xf>
    <xf numFmtId="3" fontId="1" fillId="0" borderId="0" xfId="368" applyNumberFormat="1" applyFont="1" applyAlignment="1" applyProtection="1">
      <alignment horizontal="right"/>
      <protection locked="0"/>
    </xf>
    <xf numFmtId="4" fontId="1" fillId="0" borderId="0" xfId="369" applyFont="1" applyAlignment="1" applyProtection="1">
      <alignment horizontal="center"/>
      <protection locked="0"/>
    </xf>
    <xf numFmtId="49" fontId="1" fillId="0" borderId="0" xfId="369" applyNumberFormat="1" applyFont="1" applyAlignment="1" applyProtection="1">
      <alignment horizontal="right"/>
      <protection locked="0"/>
    </xf>
    <xf numFmtId="49" fontId="1" fillId="0" borderId="0" xfId="353" applyNumberFormat="1" applyFont="1" applyAlignment="1" applyProtection="1">
      <alignment horizontal="right"/>
      <protection locked="0"/>
    </xf>
    <xf numFmtId="49" fontId="1" fillId="0" borderId="0" xfId="353" applyNumberFormat="1" applyFont="1" applyAlignment="1" applyProtection="1">
      <alignment horizontal="center"/>
      <protection locked="0"/>
    </xf>
    <xf numFmtId="169" fontId="1" fillId="0" borderId="0" xfId="369" applyNumberFormat="1" applyFont="1" applyAlignment="1" applyProtection="1">
      <alignment horizontal="right"/>
      <protection locked="0"/>
    </xf>
    <xf numFmtId="173" fontId="1" fillId="0" borderId="0" xfId="369" applyNumberFormat="1" applyFont="1" applyAlignment="1" applyProtection="1">
      <alignment horizontal="right"/>
      <protection locked="0"/>
    </xf>
    <xf numFmtId="4" fontId="47" fillId="0" borderId="0" xfId="369" applyFont="1" applyAlignment="1" applyProtection="1">
      <alignment horizontal="center"/>
      <protection locked="0"/>
    </xf>
    <xf numFmtId="4" fontId="1" fillId="0" borderId="0" xfId="369" applyNumberFormat="1" applyFont="1" applyAlignment="1" applyProtection="1">
      <alignment horizontal="right"/>
      <protection locked="0"/>
    </xf>
    <xf numFmtId="173" fontId="47" fillId="0" borderId="0" xfId="353" applyNumberFormat="1" applyFont="1" applyAlignment="1" applyProtection="1">
      <alignment horizontal="center"/>
      <protection locked="0"/>
    </xf>
    <xf numFmtId="3" fontId="1" fillId="0" borderId="0" xfId="369" applyNumberFormat="1" applyFont="1" applyAlignment="1" applyProtection="1">
      <alignment horizontal="right"/>
      <protection locked="0"/>
    </xf>
    <xf numFmtId="0" fontId="41" fillId="0" borderId="0" xfId="349" applyAlignment="1">
      <alignment horizontal="left" vertical="top" wrapText="1" indent="1"/>
    </xf>
    <xf numFmtId="4" fontId="1" fillId="0" borderId="0" xfId="353" applyFont="1" applyAlignment="1">
      <alignment horizontal="left" vertical="top" indent="1"/>
    </xf>
    <xf numFmtId="3" fontId="1" fillId="0" borderId="0" xfId="360" applyNumberFormat="1" applyFont="1" applyAlignment="1" applyProtection="1">
      <protection locked="0"/>
    </xf>
    <xf numFmtId="3" fontId="1" fillId="0" borderId="0" xfId="361" applyNumberFormat="1" applyFont="1" applyAlignment="1" applyProtection="1">
      <protection locked="0"/>
    </xf>
    <xf numFmtId="169" fontId="1" fillId="0" borderId="0" xfId="358" applyNumberFormat="1" applyFont="1" applyAlignment="1" applyProtection="1">
      <protection locked="0"/>
    </xf>
    <xf numFmtId="4" fontId="1" fillId="0" borderId="0" xfId="358" applyFont="1" applyAlignment="1" applyProtection="1">
      <protection locked="0"/>
    </xf>
    <xf numFmtId="49" fontId="1" fillId="0" borderId="0" xfId="353" applyNumberFormat="1" applyFont="1" applyAlignment="1" applyProtection="1">
      <alignment horizontal="left" vertical="top" indent="2"/>
      <protection locked="0"/>
    </xf>
    <xf numFmtId="4" fontId="50" fillId="0" borderId="0" xfId="358" applyFont="1" applyAlignment="1" applyProtection="1">
      <alignment horizontal="center"/>
      <protection locked="0"/>
    </xf>
    <xf numFmtId="49" fontId="1" fillId="0" borderId="0" xfId="353" applyNumberFormat="1" applyFont="1" applyAlignment="1" applyProtection="1">
      <alignment horizontal="left" wrapText="1" indent="2"/>
      <protection locked="0"/>
    </xf>
    <xf numFmtId="4" fontId="47" fillId="0" borderId="0" xfId="358" applyFont="1" applyAlignment="1" applyProtection="1">
      <protection locked="0"/>
    </xf>
    <xf numFmtId="4" fontId="47" fillId="0" borderId="0" xfId="358" applyFont="1" applyAlignment="1" applyProtection="1">
      <alignment horizontal="center"/>
      <protection locked="0"/>
    </xf>
    <xf numFmtId="0" fontId="1" fillId="0" borderId="0" xfId="354" applyNumberFormat="1" applyFont="1" applyAlignment="1" applyProtection="1">
      <alignment horizontal="right"/>
      <protection locked="0"/>
    </xf>
    <xf numFmtId="0" fontId="47" fillId="0" borderId="0" xfId="353" applyNumberFormat="1" applyFont="1" applyAlignment="1" applyProtection="1">
      <alignment horizontal="right"/>
      <protection locked="0"/>
    </xf>
    <xf numFmtId="3" fontId="47" fillId="0" borderId="0" xfId="358" applyNumberFormat="1" applyFont="1" applyAlignment="1" applyProtection="1">
      <alignment horizontal="center"/>
      <protection locked="0"/>
    </xf>
    <xf numFmtId="169" fontId="1" fillId="0" borderId="0" xfId="358" applyNumberFormat="1" applyFont="1" applyAlignment="1" applyProtection="1">
      <alignment horizontal="right"/>
      <protection locked="0"/>
    </xf>
    <xf numFmtId="4" fontId="1" fillId="0" borderId="0" xfId="361" applyFont="1" applyAlignment="1" applyProtection="1">
      <alignment horizontal="center"/>
      <protection locked="0"/>
    </xf>
    <xf numFmtId="4" fontId="1" fillId="0" borderId="0" xfId="358" quotePrefix="1" applyFont="1" applyAlignment="1" applyProtection="1">
      <alignment horizontal="center"/>
      <protection locked="0"/>
    </xf>
    <xf numFmtId="0" fontId="41" fillId="0" borderId="0" xfId="349" applyAlignment="1">
      <alignment vertical="center" wrapText="1"/>
    </xf>
    <xf numFmtId="4" fontId="1" fillId="0" borderId="0" xfId="353" applyAlignment="1"/>
    <xf numFmtId="4" fontId="1" fillId="0" borderId="0" xfId="356" applyFont="1" applyProtection="1">
      <protection locked="0"/>
    </xf>
    <xf numFmtId="9" fontId="1" fillId="0" borderId="0" xfId="353" applyNumberFormat="1" applyFont="1" applyFill="1" applyAlignment="1" applyProtection="1">
      <alignment horizontal="right"/>
      <protection locked="0"/>
    </xf>
    <xf numFmtId="9" fontId="1" fillId="0" borderId="0" xfId="353" applyNumberFormat="1" applyFont="1" applyBorder="1" applyAlignment="1" applyProtection="1">
      <protection locked="0"/>
    </xf>
    <xf numFmtId="3" fontId="1" fillId="33" borderId="0" xfId="353" applyNumberFormat="1" applyFont="1" applyFill="1" applyAlignment="1" applyProtection="1">
      <alignment horizontal="right"/>
      <protection locked="0"/>
    </xf>
    <xf numFmtId="4" fontId="0" fillId="0" borderId="0" xfId="353" applyFont="1" applyAlignment="1">
      <alignment horizontal="left" vertical="top" indent="1"/>
    </xf>
    <xf numFmtId="4" fontId="1" fillId="0" borderId="0" xfId="353" applyAlignment="1" applyProtection="1">
      <alignment horizontal="center"/>
      <protection locked="0"/>
    </xf>
    <xf numFmtId="3" fontId="1" fillId="33" borderId="0" xfId="353" applyNumberFormat="1" applyFont="1" applyFill="1" applyAlignment="1" applyProtection="1">
      <protection locked="0"/>
    </xf>
    <xf numFmtId="3" fontId="1" fillId="0" borderId="0" xfId="289" applyNumberFormat="1" applyFont="1" applyAlignment="1" applyProtection="1">
      <protection locked="0"/>
    </xf>
    <xf numFmtId="1" fontId="1" fillId="0" borderId="0" xfId="353" applyNumberFormat="1" applyFont="1" applyAlignment="1" applyProtection="1">
      <protection locked="0"/>
    </xf>
    <xf numFmtId="171" fontId="1" fillId="0" borderId="0" xfId="353" applyNumberFormat="1" applyFont="1" applyAlignment="1" applyProtection="1">
      <alignment horizontal="right"/>
      <protection locked="0"/>
    </xf>
    <xf numFmtId="171" fontId="1" fillId="0" borderId="0" xfId="353" applyNumberFormat="1" applyFont="1" applyBorder="1" applyAlignment="1" applyProtection="1">
      <alignment horizontal="right"/>
      <protection locked="0"/>
    </xf>
    <xf numFmtId="173" fontId="1" fillId="0" borderId="0" xfId="353" applyNumberFormat="1"/>
    <xf numFmtId="3" fontId="1" fillId="0" borderId="0" xfId="353" applyNumberFormat="1"/>
    <xf numFmtId="2" fontId="1" fillId="0" borderId="0" xfId="353" applyNumberFormat="1" applyFont="1" applyBorder="1" applyAlignment="1" applyProtection="1">
      <alignment horizontal="right"/>
      <protection locked="0"/>
    </xf>
    <xf numFmtId="169" fontId="1" fillId="0" borderId="0" xfId="92" applyNumberFormat="1" applyFont="1" applyFill="1" applyBorder="1" applyAlignment="1" applyProtection="1">
      <alignment horizontal="right"/>
      <protection locked="0"/>
    </xf>
    <xf numFmtId="3" fontId="1" fillId="0" borderId="0" xfId="354" applyNumberFormat="1" applyFont="1" applyFill="1" applyAlignment="1" applyProtection="1">
      <protection locked="0"/>
    </xf>
    <xf numFmtId="168" fontId="1" fillId="0" borderId="0" xfId="354" applyNumberFormat="1" applyFont="1" applyFill="1" applyAlignment="1" applyProtection="1">
      <alignment horizontal="right"/>
      <protection locked="0"/>
    </xf>
    <xf numFmtId="169" fontId="1" fillId="0" borderId="0" xfId="92" applyNumberFormat="1" applyFont="1" applyBorder="1" applyAlignment="1" applyProtection="1">
      <alignment horizontal="right"/>
      <protection locked="0"/>
    </xf>
    <xf numFmtId="3" fontId="1" fillId="0" borderId="0" xfId="1" applyNumberFormat="1" applyFont="1" applyFill="1" applyAlignment="1" applyProtection="1">
      <alignment horizontal="right"/>
      <protection locked="0"/>
    </xf>
    <xf numFmtId="4" fontId="68" fillId="0" borderId="0" xfId="353" applyFont="1" applyAlignment="1" applyProtection="1">
      <alignment horizontal="center"/>
      <protection locked="0"/>
    </xf>
    <xf numFmtId="169" fontId="1" fillId="0" borderId="0" xfId="1" applyNumberFormat="1" applyFont="1" applyFill="1" applyAlignment="1" applyProtection="1">
      <alignment horizontal="right"/>
      <protection locked="0"/>
    </xf>
    <xf numFmtId="169" fontId="1" fillId="0" borderId="0" xfId="289" applyNumberFormat="1" applyFont="1" applyFill="1" applyAlignment="1" applyProtection="1">
      <protection locked="0"/>
    </xf>
    <xf numFmtId="49" fontId="0" fillId="0" borderId="0" xfId="354" applyNumberFormat="1" applyFont="1" applyAlignment="1" applyProtection="1">
      <alignment horizontal="left" indent="1"/>
      <protection locked="0"/>
    </xf>
    <xf numFmtId="4" fontId="1" fillId="0" borderId="0" xfId="354" applyFont="1" applyFill="1" applyAlignment="1" applyProtection="1">
      <protection locked="0"/>
    </xf>
    <xf numFmtId="3" fontId="1" fillId="0" borderId="0" xfId="354" applyNumberFormat="1" applyFont="1" applyFill="1" applyAlignment="1" applyProtection="1">
      <alignment horizontal="center"/>
      <protection locked="0"/>
    </xf>
    <xf numFmtId="169" fontId="1" fillId="0" borderId="0" xfId="1" applyNumberFormat="1" applyFont="1" applyFill="1" applyAlignment="1" applyProtection="1">
      <protection locked="0"/>
    </xf>
    <xf numFmtId="3" fontId="1" fillId="0" borderId="0" xfId="92" applyNumberFormat="1" applyFont="1" applyFill="1" applyBorder="1" applyAlignment="1" applyProtection="1">
      <alignment horizontal="right"/>
      <protection locked="0"/>
    </xf>
    <xf numFmtId="169" fontId="1" fillId="0" borderId="0" xfId="354" applyNumberFormat="1" applyFont="1" applyFill="1" applyAlignment="1" applyProtection="1">
      <protection locked="0"/>
    </xf>
    <xf numFmtId="169" fontId="1" fillId="0" borderId="0" xfId="353" applyNumberFormat="1" applyFont="1" applyFill="1" applyBorder="1" applyAlignment="1" applyProtection="1">
      <alignment horizontal="right"/>
      <protection locked="0"/>
    </xf>
    <xf numFmtId="191" fontId="1" fillId="0" borderId="0" xfId="354" applyNumberFormat="1" applyFont="1" applyFill="1" applyAlignment="1" applyProtection="1">
      <alignment horizontal="right"/>
      <protection locked="0"/>
    </xf>
    <xf numFmtId="191" fontId="1" fillId="0" borderId="0" xfId="353" applyNumberFormat="1" applyFont="1" applyFill="1" applyAlignment="1" applyProtection="1">
      <alignment horizontal="right"/>
      <protection locked="0"/>
    </xf>
    <xf numFmtId="4" fontId="1" fillId="0" borderId="0" xfId="354" applyFont="1" applyFill="1" applyProtection="1">
      <protection locked="0"/>
    </xf>
    <xf numFmtId="0" fontId="1" fillId="0" borderId="0" xfId="353" applyNumberFormat="1" applyAlignment="1" applyProtection="1">
      <alignment horizontal="right"/>
      <protection locked="0"/>
    </xf>
    <xf numFmtId="3" fontId="1" fillId="0" borderId="0" xfId="353" applyNumberFormat="1" applyFont="1" applyFill="1" applyBorder="1" applyAlignment="1" applyProtection="1">
      <alignment horizontal="right"/>
      <protection locked="0"/>
    </xf>
    <xf numFmtId="4" fontId="1" fillId="0" borderId="0" xfId="353" applyAlignment="1" applyProtection="1">
      <alignment horizontal="left" wrapText="1"/>
      <protection locked="0"/>
    </xf>
    <xf numFmtId="3" fontId="1" fillId="0" borderId="0" xfId="354" applyNumberFormat="1" applyFont="1" applyFill="1" applyBorder="1" applyAlignment="1" applyProtection="1">
      <protection locked="0"/>
    </xf>
    <xf numFmtId="169" fontId="1" fillId="0" borderId="0" xfId="354" applyNumberFormat="1" applyFont="1" applyFill="1" applyBorder="1" applyAlignment="1" applyProtection="1">
      <protection locked="0"/>
    </xf>
    <xf numFmtId="169" fontId="1" fillId="0" borderId="0" xfId="354" applyNumberFormat="1" applyFont="1" applyFill="1" applyBorder="1" applyAlignment="1" applyProtection="1">
      <alignment horizontal="right"/>
      <protection locked="0"/>
    </xf>
    <xf numFmtId="168" fontId="1" fillId="0" borderId="0" xfId="354" applyNumberFormat="1" applyFont="1" applyFill="1" applyAlignment="1" applyProtection="1">
      <alignment horizontal="center"/>
      <protection locked="0"/>
    </xf>
    <xf numFmtId="169" fontId="1" fillId="0" borderId="0" xfId="354" applyNumberFormat="1" applyFont="1" applyFill="1" applyAlignment="1" applyProtection="1">
      <alignment horizontal="center"/>
      <protection locked="0"/>
    </xf>
    <xf numFmtId="169" fontId="47" fillId="0" borderId="0" xfId="354" applyNumberFormat="1" applyFont="1" applyFill="1" applyAlignment="1" applyProtection="1">
      <alignment horizontal="center"/>
      <protection locked="0"/>
    </xf>
    <xf numFmtId="4" fontId="1" fillId="0" borderId="0" xfId="354" applyNumberFormat="1" applyFont="1" applyFill="1" applyAlignment="1" applyProtection="1">
      <alignment horizontal="center"/>
      <protection locked="0"/>
    </xf>
    <xf numFmtId="1" fontId="1" fillId="0" borderId="0" xfId="354" applyNumberFormat="1" applyFont="1" applyFill="1" applyAlignment="1" applyProtection="1">
      <alignment horizontal="right"/>
      <protection locked="0"/>
    </xf>
    <xf numFmtId="170" fontId="1" fillId="0" borderId="0" xfId="5" applyNumberFormat="1" applyFont="1" applyFill="1" applyAlignment="1" applyProtection="1">
      <alignment horizontal="right"/>
      <protection locked="0"/>
    </xf>
    <xf numFmtId="182" fontId="47" fillId="0" borderId="0" xfId="353" applyNumberFormat="1" applyFont="1" applyAlignment="1" applyProtection="1">
      <alignment horizontal="center"/>
      <protection locked="0"/>
    </xf>
    <xf numFmtId="41" fontId="1" fillId="0" borderId="0" xfId="353" applyNumberFormat="1" applyFont="1" applyAlignment="1" applyProtection="1">
      <alignment horizontal="right"/>
      <protection locked="0"/>
    </xf>
    <xf numFmtId="49" fontId="0" fillId="0" borderId="0" xfId="353" applyNumberFormat="1" applyFont="1" applyAlignment="1" applyProtection="1">
      <alignment horizontal="left" indent="1"/>
      <protection locked="0"/>
    </xf>
    <xf numFmtId="4" fontId="1" fillId="0" borderId="0" xfId="353" applyFont="1" applyFill="1" applyProtection="1">
      <protection locked="0"/>
    </xf>
    <xf numFmtId="168" fontId="45" fillId="0" borderId="0" xfId="92" applyNumberFormat="1" applyFont="1" applyAlignment="1">
      <alignment horizontal="right"/>
    </xf>
    <xf numFmtId="168" fontId="45" fillId="0" borderId="0" xfId="92" applyNumberFormat="1" applyFont="1"/>
    <xf numFmtId="168" fontId="45" fillId="0" borderId="12" xfId="92" applyNumberFormat="1" applyFont="1" applyBorder="1" applyAlignment="1">
      <alignment horizontal="center"/>
    </xf>
    <xf numFmtId="168" fontId="45" fillId="0" borderId="14" xfId="92" applyNumberFormat="1" applyFont="1" applyBorder="1" applyAlignment="1">
      <alignment horizontal="center"/>
    </xf>
    <xf numFmtId="168" fontId="45" fillId="0" borderId="16" xfId="92" applyNumberFormat="1" applyFont="1" applyBorder="1" applyAlignment="1">
      <alignment horizontal="center"/>
    </xf>
    <xf numFmtId="3" fontId="1" fillId="0" borderId="0" xfId="289" applyNumberFormat="1" applyFont="1" applyFill="1" applyAlignment="1" applyProtection="1">
      <protection locked="0"/>
    </xf>
    <xf numFmtId="3" fontId="1" fillId="31" borderId="0" xfId="353" applyNumberFormat="1" applyFont="1" applyFill="1" applyAlignment="1" applyProtection="1">
      <protection locked="0"/>
    </xf>
    <xf numFmtId="3" fontId="1" fillId="0" borderId="0" xfId="289" quotePrefix="1" applyNumberFormat="1" applyFont="1" applyFill="1" applyAlignment="1" applyProtection="1">
      <alignment horizontal="right"/>
      <protection locked="0"/>
    </xf>
    <xf numFmtId="1" fontId="1" fillId="0" borderId="0" xfId="353" applyNumberFormat="1" applyFont="1" applyFill="1" applyAlignment="1" applyProtection="1">
      <protection locked="0"/>
    </xf>
    <xf numFmtId="169" fontId="1" fillId="31" borderId="0" xfId="353" applyNumberFormat="1" applyFont="1" applyFill="1" applyAlignment="1" applyProtection="1">
      <alignment horizontal="right"/>
      <protection locked="0"/>
    </xf>
    <xf numFmtId="42" fontId="1" fillId="0" borderId="0" xfId="353" applyNumberFormat="1" applyFont="1" applyAlignment="1" applyProtection="1">
      <alignment horizontal="right"/>
      <protection locked="0"/>
    </xf>
    <xf numFmtId="168" fontId="1" fillId="0" borderId="0" xfId="92" applyNumberFormat="1" applyAlignment="1" applyProtection="1">
      <protection locked="0"/>
    </xf>
    <xf numFmtId="0" fontId="1" fillId="0" borderId="0" xfId="353" applyNumberFormat="1" applyFont="1" applyAlignment="1" applyProtection="1">
      <alignment horizontal="center" vertical="top" wrapText="1"/>
      <protection locked="0"/>
    </xf>
    <xf numFmtId="4" fontId="69" fillId="0" borderId="0" xfId="353" applyFont="1" applyAlignment="1" applyProtection="1">
      <alignment horizontal="left" vertical="top"/>
      <protection locked="0"/>
    </xf>
    <xf numFmtId="0" fontId="69" fillId="0" borderId="0" xfId="349" applyFont="1" applyAlignment="1">
      <alignment vertical="top" wrapText="1"/>
    </xf>
    <xf numFmtId="0" fontId="69" fillId="0" borderId="0" xfId="353" applyNumberFormat="1" applyFont="1" applyAlignment="1" applyProtection="1">
      <alignment horizontal="center" vertical="top" wrapText="1"/>
      <protection locked="0"/>
    </xf>
    <xf numFmtId="4" fontId="0" fillId="0" borderId="0" xfId="353" applyFont="1" applyAlignment="1">
      <alignment horizontal="left" vertical="top" wrapText="1"/>
    </xf>
    <xf numFmtId="168" fontId="1" fillId="0" borderId="0" xfId="92" applyNumberFormat="1" applyAlignment="1">
      <alignment horizontal="right"/>
    </xf>
    <xf numFmtId="191" fontId="1" fillId="0" borderId="0" xfId="289" applyNumberFormat="1" applyFont="1" applyFill="1" applyAlignment="1" applyProtection="1">
      <alignment horizontal="right"/>
      <protection locked="0"/>
    </xf>
    <xf numFmtId="191" fontId="1" fillId="0" borderId="0" xfId="353" applyNumberFormat="1" applyFont="1" applyAlignment="1" applyProtection="1">
      <alignment horizontal="center"/>
      <protection locked="0"/>
    </xf>
    <xf numFmtId="4" fontId="65" fillId="0" borderId="0" xfId="353" applyFont="1" applyAlignment="1" applyProtection="1">
      <alignment horizontal="center"/>
      <protection locked="0"/>
    </xf>
    <xf numFmtId="10" fontId="70" fillId="0" borderId="0" xfId="5" applyNumberFormat="1" applyFont="1" applyAlignment="1" applyProtection="1">
      <alignment horizontal="right"/>
      <protection locked="0"/>
    </xf>
    <xf numFmtId="168" fontId="0" fillId="0" borderId="0" xfId="92" applyNumberFormat="1" applyFont="1" applyAlignment="1"/>
    <xf numFmtId="169" fontId="1" fillId="0" borderId="0" xfId="92" applyNumberFormat="1" applyFont="1" applyFill="1" applyAlignment="1" applyProtection="1">
      <alignment horizontal="right"/>
      <protection locked="0"/>
    </xf>
    <xf numFmtId="169" fontId="1" fillId="0" borderId="0" xfId="92" applyNumberFormat="1" applyFont="1" applyAlignment="1" applyProtection="1">
      <alignment horizontal="center"/>
      <protection locked="0"/>
    </xf>
    <xf numFmtId="169" fontId="1" fillId="0" borderId="0" xfId="92" applyNumberFormat="1" applyFont="1" applyAlignment="1" applyProtection="1">
      <alignment horizontal="right"/>
      <protection locked="0"/>
    </xf>
    <xf numFmtId="168" fontId="1" fillId="0" borderId="0" xfId="92" quotePrefix="1" applyNumberFormat="1" applyFont="1" applyAlignment="1" applyProtection="1">
      <alignment horizontal="right"/>
      <protection locked="0"/>
    </xf>
    <xf numFmtId="167" fontId="1" fillId="0" borderId="0" xfId="353" applyNumberFormat="1" applyFont="1" applyAlignment="1" applyProtection="1">
      <alignment horizontal="right"/>
      <protection locked="0"/>
    </xf>
    <xf numFmtId="4" fontId="47" fillId="0" borderId="0" xfId="353" applyNumberFormat="1" applyFont="1" applyFill="1" applyAlignment="1" applyProtection="1">
      <alignment horizontal="right"/>
      <protection locked="0"/>
    </xf>
    <xf numFmtId="49" fontId="1" fillId="0" borderId="0" xfId="353" applyNumberFormat="1" applyFont="1" applyFill="1" applyAlignment="1" applyProtection="1">
      <alignment horizontal="right"/>
      <protection locked="0"/>
    </xf>
    <xf numFmtId="194" fontId="1" fillId="0" borderId="0" xfId="353" applyNumberFormat="1" applyFont="1" applyAlignment="1" applyProtection="1">
      <alignment horizontal="right"/>
      <protection locked="0"/>
    </xf>
    <xf numFmtId="194" fontId="1" fillId="0" borderId="0" xfId="353" applyNumberFormat="1" applyFont="1" applyAlignment="1" applyProtection="1">
      <alignment horizontal="center"/>
      <protection locked="0"/>
    </xf>
    <xf numFmtId="0" fontId="1" fillId="0" borderId="0" xfId="349" applyFont="1" applyAlignment="1"/>
    <xf numFmtId="3" fontId="71" fillId="34" borderId="0" xfId="353" applyNumberFormat="1" applyFont="1" applyFill="1" applyAlignment="1" applyProtection="1">
      <alignment horizontal="right"/>
      <protection locked="0"/>
    </xf>
    <xf numFmtId="49" fontId="1" fillId="0" borderId="0" xfId="353" applyNumberFormat="1" applyFont="1" applyBorder="1" applyAlignment="1" applyProtection="1">
      <alignment horizontal="right"/>
      <protection locked="0"/>
    </xf>
    <xf numFmtId="4" fontId="1" fillId="31" borderId="0" xfId="353" applyFont="1" applyFill="1" applyAlignment="1" applyProtection="1">
      <alignment horizontal="right"/>
      <protection locked="0"/>
    </xf>
    <xf numFmtId="49" fontId="43" fillId="0" borderId="0" xfId="354" applyNumberFormat="1" applyFont="1" applyBorder="1" applyAlignment="1">
      <alignment horizontal="right" vertical="top"/>
    </xf>
    <xf numFmtId="1" fontId="44" fillId="0" borderId="0" xfId="354" applyNumberFormat="1" applyFont="1" applyBorder="1" applyAlignment="1" applyProtection="1">
      <alignment horizontal="left" vertical="top"/>
    </xf>
    <xf numFmtId="4" fontId="45" fillId="0" borderId="0" xfId="354" applyNumberFormat="1" applyFont="1"/>
    <xf numFmtId="4" fontId="45" fillId="0" borderId="0" xfId="354" applyFont="1"/>
    <xf numFmtId="4" fontId="45" fillId="0" borderId="0" xfId="354" applyNumberFormat="1" applyFont="1" applyAlignment="1">
      <alignment horizontal="right"/>
    </xf>
    <xf numFmtId="0" fontId="45" fillId="0" borderId="0" xfId="354" applyNumberFormat="1" applyFont="1" applyAlignment="1">
      <alignment horizontal="center"/>
    </xf>
    <xf numFmtId="0" fontId="45" fillId="0" borderId="0" xfId="354" applyNumberFormat="1" applyFont="1" applyAlignment="1">
      <alignment horizontal="right"/>
    </xf>
    <xf numFmtId="0" fontId="46" fillId="0" borderId="0" xfId="354" applyNumberFormat="1" applyFont="1" applyAlignment="1">
      <alignment horizontal="center"/>
    </xf>
    <xf numFmtId="166" fontId="45" fillId="0" borderId="0" xfId="354" applyNumberFormat="1" applyFont="1" applyAlignment="1">
      <alignment horizontal="right"/>
    </xf>
    <xf numFmtId="0" fontId="46" fillId="0" borderId="0" xfId="354" applyNumberFormat="1" applyFont="1" applyBorder="1" applyAlignment="1">
      <alignment horizontal="center" vertical="top"/>
    </xf>
    <xf numFmtId="167" fontId="45" fillId="0" borderId="0" xfId="354" applyNumberFormat="1" applyFont="1"/>
    <xf numFmtId="0" fontId="43" fillId="0" borderId="0" xfId="354" applyNumberFormat="1" applyFont="1" applyBorder="1" applyAlignment="1">
      <alignment horizontal="right" vertical="top"/>
    </xf>
    <xf numFmtId="0" fontId="46" fillId="0" borderId="0" xfId="354" applyNumberFormat="1" applyFont="1" applyFill="1" applyBorder="1" applyAlignment="1" applyProtection="1">
      <alignment horizontal="center" vertical="top"/>
      <protection locked="0"/>
    </xf>
    <xf numFmtId="0" fontId="45" fillId="0" borderId="0" xfId="354" applyNumberFormat="1" applyFont="1" applyAlignment="1" applyProtection="1">
      <alignment horizontal="right"/>
      <protection locked="0"/>
    </xf>
    <xf numFmtId="0" fontId="46" fillId="0" borderId="0" xfId="354" applyNumberFormat="1" applyFont="1" applyBorder="1" applyAlignment="1" applyProtection="1">
      <alignment horizontal="center" vertical="top"/>
    </xf>
    <xf numFmtId="0" fontId="46" fillId="0" borderId="0" xfId="354" applyNumberFormat="1" applyFont="1" applyAlignment="1">
      <alignment horizontal="right"/>
    </xf>
    <xf numFmtId="4" fontId="45" fillId="0" borderId="0" xfId="354" applyFont="1" applyAlignment="1">
      <alignment horizontal="left"/>
    </xf>
    <xf numFmtId="4" fontId="45" fillId="0" borderId="0" xfId="354" applyFont="1" applyAlignment="1">
      <alignment horizontal="left" wrapText="1"/>
    </xf>
    <xf numFmtId="4" fontId="45" fillId="0" borderId="12" xfId="354" applyNumberFormat="1" applyFont="1" applyBorder="1" applyAlignment="1">
      <alignment horizontal="center"/>
    </xf>
    <xf numFmtId="0" fontId="45" fillId="0" borderId="13" xfId="354" applyNumberFormat="1" applyFont="1" applyBorder="1" applyAlignment="1">
      <alignment horizontal="center"/>
    </xf>
    <xf numFmtId="4" fontId="1" fillId="0" borderId="0" xfId="354" applyAlignment="1">
      <alignment horizontal="left"/>
    </xf>
    <xf numFmtId="4" fontId="1" fillId="0" borderId="0" xfId="354" applyAlignment="1">
      <alignment horizontal="left" wrapText="1"/>
    </xf>
    <xf numFmtId="4" fontId="45" fillId="0" borderId="14" xfId="354" applyNumberFormat="1" applyFont="1" applyBorder="1" applyAlignment="1">
      <alignment horizontal="center"/>
    </xf>
    <xf numFmtId="0" fontId="45" fillId="0" borderId="15" xfId="354" applyNumberFormat="1" applyFont="1" applyBorder="1" applyAlignment="1">
      <alignment horizontal="center"/>
    </xf>
    <xf numFmtId="49" fontId="45" fillId="0" borderId="0" xfId="354" applyNumberFormat="1" applyFont="1" applyAlignment="1">
      <alignment horizontal="left"/>
    </xf>
    <xf numFmtId="49" fontId="45" fillId="0" borderId="0" xfId="354" applyNumberFormat="1" applyFont="1" applyAlignment="1">
      <alignment horizontal="left" wrapText="1"/>
    </xf>
    <xf numFmtId="49" fontId="45" fillId="0" borderId="14" xfId="354" applyNumberFormat="1" applyFont="1" applyBorder="1" applyAlignment="1">
      <alignment horizontal="center"/>
    </xf>
    <xf numFmtId="0" fontId="45" fillId="0" borderId="18" xfId="354" applyNumberFormat="1" applyFont="1" applyBorder="1" applyAlignment="1">
      <alignment horizontal="center" textRotation="255"/>
    </xf>
    <xf numFmtId="0" fontId="45" fillId="0" borderId="14" xfId="354" applyNumberFormat="1" applyFont="1" applyBorder="1" applyAlignment="1">
      <alignment horizontal="center"/>
    </xf>
    <xf numFmtId="49" fontId="47" fillId="0" borderId="0" xfId="354" applyNumberFormat="1" applyFont="1" applyBorder="1" applyAlignment="1" applyProtection="1">
      <alignment horizontal="left"/>
      <protection locked="0"/>
    </xf>
    <xf numFmtId="49" fontId="1" fillId="0" borderId="0" xfId="354" applyNumberFormat="1" applyFont="1" applyBorder="1" applyAlignment="1" applyProtection="1">
      <alignment horizontal="left" wrapText="1"/>
      <protection locked="0"/>
    </xf>
    <xf numFmtId="49" fontId="1" fillId="0" borderId="0" xfId="354" applyNumberFormat="1" applyFont="1" applyFill="1" applyBorder="1" applyAlignment="1" applyProtection="1">
      <alignment horizontal="left" wrapText="1"/>
      <protection locked="0"/>
    </xf>
    <xf numFmtId="49" fontId="1" fillId="0" borderId="0" xfId="354" applyNumberFormat="1" applyFont="1" applyFill="1" applyBorder="1" applyAlignment="1" applyProtection="1">
      <alignment horizontal="left" indent="2"/>
      <protection locked="0"/>
    </xf>
    <xf numFmtId="49" fontId="1" fillId="0" borderId="0" xfId="354" applyNumberFormat="1" applyFont="1" applyFill="1" applyAlignment="1" applyProtection="1">
      <alignment horizontal="left"/>
      <protection locked="0"/>
    </xf>
    <xf numFmtId="49" fontId="1" fillId="0" borderId="0" xfId="354" applyNumberFormat="1" applyFont="1" applyFill="1" applyBorder="1" applyAlignment="1" applyProtection="1">
      <alignment horizontal="right"/>
      <protection locked="0"/>
    </xf>
    <xf numFmtId="49" fontId="1" fillId="0" borderId="0" xfId="354" applyNumberFormat="1" applyFont="1" applyFill="1" applyBorder="1" applyAlignment="1" applyProtection="1">
      <alignment horizontal="left" indent="1"/>
      <protection locked="0"/>
    </xf>
    <xf numFmtId="49" fontId="1" fillId="0" borderId="0" xfId="354" applyNumberFormat="1" applyFont="1" applyBorder="1" applyAlignment="1" applyProtection="1">
      <alignment horizontal="left"/>
      <protection locked="0"/>
    </xf>
    <xf numFmtId="49" fontId="1" fillId="0" borderId="0" xfId="354" applyNumberFormat="1" applyFont="1" applyBorder="1" applyAlignment="1" applyProtection="1">
      <alignment horizontal="left" indent="1"/>
      <protection locked="0"/>
    </xf>
    <xf numFmtId="49" fontId="1" fillId="0" borderId="0" xfId="354" applyNumberFormat="1" applyFont="1" applyBorder="1" applyAlignment="1" applyProtection="1">
      <alignment horizontal="left" indent="2"/>
      <protection locked="0"/>
    </xf>
    <xf numFmtId="0" fontId="1" fillId="0" borderId="0" xfId="354" applyNumberFormat="1" applyAlignment="1">
      <alignment horizontal="right"/>
    </xf>
    <xf numFmtId="0" fontId="1" fillId="0" borderId="0" xfId="354" applyNumberFormat="1" applyAlignment="1">
      <alignment horizontal="center"/>
    </xf>
    <xf numFmtId="0" fontId="1" fillId="0" borderId="0" xfId="349" applyFont="1" applyAlignment="1">
      <alignment wrapText="1"/>
    </xf>
    <xf numFmtId="4" fontId="1" fillId="0" borderId="0" xfId="354" applyFont="1"/>
    <xf numFmtId="4" fontId="1" fillId="0" borderId="0" xfId="349" applyNumberFormat="1" applyFont="1" applyAlignment="1">
      <alignment horizontal="left"/>
    </xf>
    <xf numFmtId="4" fontId="69" fillId="0" borderId="0" xfId="354" applyFont="1"/>
    <xf numFmtId="0" fontId="69" fillId="0" borderId="0" xfId="349" applyFont="1" applyAlignment="1">
      <alignment horizontal="left" wrapText="1" indent="1"/>
    </xf>
    <xf numFmtId="4" fontId="69" fillId="0" borderId="0" xfId="349" applyNumberFormat="1" applyFont="1" applyAlignment="1">
      <alignment horizontal="left" wrapText="1" indent="1"/>
    </xf>
    <xf numFmtId="4" fontId="69" fillId="0" borderId="0" xfId="349" applyNumberFormat="1" applyFont="1" applyAlignment="1">
      <alignment horizontal="left"/>
    </xf>
    <xf numFmtId="0" fontId="69" fillId="0" borderId="0" xfId="349" applyFont="1" applyAlignment="1">
      <alignment horizontal="left"/>
    </xf>
    <xf numFmtId="4" fontId="69" fillId="0" borderId="0" xfId="354" applyFont="1" applyAlignment="1"/>
    <xf numFmtId="0" fontId="1" fillId="0" borderId="0" xfId="354" applyNumberFormat="1" applyAlignment="1">
      <alignment horizontal="left"/>
    </xf>
    <xf numFmtId="4" fontId="1" fillId="0" borderId="0" xfId="354" applyAlignment="1">
      <alignment horizontal="right"/>
    </xf>
    <xf numFmtId="0" fontId="72" fillId="0" borderId="0" xfId="353" applyNumberFormat="1" applyFont="1" applyFill="1" applyBorder="1" applyAlignment="1">
      <alignment horizontal="center"/>
    </xf>
    <xf numFmtId="4" fontId="64" fillId="0" borderId="0" xfId="353" applyFont="1" applyFill="1" applyBorder="1" applyAlignment="1">
      <alignment horizontal="center"/>
    </xf>
    <xf numFmtId="0" fontId="64" fillId="0" borderId="0" xfId="353" applyNumberFormat="1" applyFont="1" applyFill="1" applyBorder="1" applyAlignment="1">
      <alignment horizontal="center"/>
    </xf>
    <xf numFmtId="4" fontId="45" fillId="0" borderId="12" xfId="353" applyNumberFormat="1" applyFont="1" applyBorder="1" applyAlignment="1" applyProtection="1">
      <alignment horizontal="center"/>
    </xf>
    <xf numFmtId="0" fontId="45" fillId="0" borderId="13" xfId="353" applyNumberFormat="1" applyFont="1" applyBorder="1" applyAlignment="1" applyProtection="1">
      <alignment horizontal="center"/>
    </xf>
    <xf numFmtId="4" fontId="45" fillId="0" borderId="14" xfId="353" applyNumberFormat="1" applyFont="1" applyBorder="1" applyAlignment="1" applyProtection="1">
      <alignment horizontal="center"/>
    </xf>
    <xf numFmtId="0" fontId="45" fillId="0" borderId="15" xfId="353" applyNumberFormat="1" applyFont="1" applyBorder="1" applyAlignment="1" applyProtection="1">
      <alignment horizontal="center"/>
    </xf>
    <xf numFmtId="49" fontId="45" fillId="0" borderId="16" xfId="353" applyNumberFormat="1" applyFont="1" applyBorder="1" applyAlignment="1" applyProtection="1">
      <alignment horizontal="center"/>
    </xf>
    <xf numFmtId="0" fontId="45" fillId="0" borderId="17" xfId="353" applyNumberFormat="1" applyFont="1" applyBorder="1" applyAlignment="1" applyProtection="1">
      <alignment horizontal="center" textRotation="255"/>
    </xf>
    <xf numFmtId="4" fontId="1" fillId="0" borderId="0" xfId="353" applyFont="1" applyFill="1" applyBorder="1" applyAlignment="1" applyProtection="1">
      <alignment horizontal="right"/>
      <protection locked="0"/>
    </xf>
    <xf numFmtId="49" fontId="1" fillId="0" borderId="0" xfId="353" applyNumberFormat="1" applyFont="1" applyFill="1" applyBorder="1" applyAlignment="1" applyProtection="1">
      <alignment horizontal="left"/>
      <protection locked="0"/>
    </xf>
    <xf numFmtId="49" fontId="1" fillId="0" borderId="0" xfId="353" applyNumberFormat="1" applyFont="1" applyFill="1" applyBorder="1" applyAlignment="1" applyProtection="1">
      <alignment horizontal="left" wrapText="1"/>
      <protection locked="0"/>
    </xf>
    <xf numFmtId="49" fontId="1" fillId="0" borderId="0" xfId="353" applyNumberFormat="1" applyFont="1" applyFill="1" applyBorder="1" applyAlignment="1" applyProtection="1">
      <alignment horizontal="left" indent="1"/>
      <protection locked="0"/>
    </xf>
    <xf numFmtId="49" fontId="1" fillId="0" borderId="0" xfId="353" applyNumberFormat="1" applyFont="1" applyFill="1" applyBorder="1" applyAlignment="1" applyProtection="1">
      <alignment horizontal="left" indent="2"/>
      <protection locked="0"/>
    </xf>
    <xf numFmtId="4" fontId="1" fillId="0" borderId="0" xfId="353" applyNumberFormat="1" applyFont="1" applyFill="1" applyBorder="1" applyAlignment="1" applyProtection="1">
      <alignment horizontal="right"/>
      <protection locked="0"/>
    </xf>
    <xf numFmtId="3" fontId="1" fillId="0" borderId="0" xfId="353" quotePrefix="1" applyNumberFormat="1" applyFont="1" applyFill="1" applyBorder="1" applyAlignment="1" applyProtection="1">
      <alignment horizontal="right"/>
      <protection locked="0"/>
    </xf>
    <xf numFmtId="3" fontId="1" fillId="0" borderId="0" xfId="353" applyNumberFormat="1" applyFont="1" applyFill="1" applyBorder="1" applyAlignment="1" applyProtection="1">
      <protection locked="0"/>
    </xf>
    <xf numFmtId="49" fontId="1" fillId="0" borderId="0" xfId="353" applyNumberFormat="1" applyFont="1" applyBorder="1" applyAlignment="1" applyProtection="1">
      <alignment horizontal="left" indent="1"/>
      <protection locked="0"/>
    </xf>
    <xf numFmtId="194" fontId="1" fillId="0" borderId="0" xfId="353" applyNumberFormat="1" applyFont="1" applyFill="1" applyBorder="1" applyAlignment="1" applyProtection="1">
      <alignment horizontal="right"/>
      <protection locked="0"/>
    </xf>
    <xf numFmtId="194" fontId="1" fillId="0" borderId="0" xfId="353" applyNumberFormat="1" applyFont="1" applyBorder="1" applyAlignment="1" applyProtection="1">
      <alignment horizontal="right"/>
      <protection locked="0"/>
    </xf>
    <xf numFmtId="194" fontId="1" fillId="0" borderId="0" xfId="353" applyNumberFormat="1" applyFont="1" applyBorder="1" applyAlignment="1" applyProtection="1">
      <alignment horizontal="center"/>
      <protection locked="0"/>
    </xf>
    <xf numFmtId="49" fontId="1" fillId="0" borderId="0" xfId="353" applyNumberFormat="1" applyFont="1" applyBorder="1" applyAlignment="1" applyProtection="1">
      <alignment horizontal="left"/>
      <protection locked="0"/>
    </xf>
    <xf numFmtId="4" fontId="1" fillId="0" borderId="0" xfId="353" applyFont="1" applyBorder="1" applyAlignment="1" applyProtection="1">
      <alignment horizontal="right"/>
      <protection locked="0"/>
    </xf>
    <xf numFmtId="170" fontId="1" fillId="0" borderId="0" xfId="353" applyNumberFormat="1" applyFont="1" applyFill="1" applyBorder="1" applyAlignment="1" applyProtection="1">
      <alignment horizontal="right"/>
      <protection locked="0"/>
    </xf>
    <xf numFmtId="170" fontId="1" fillId="0" borderId="0" xfId="353" applyNumberFormat="1" applyFont="1" applyBorder="1" applyAlignment="1" applyProtection="1">
      <alignment horizontal="right"/>
      <protection locked="0"/>
    </xf>
    <xf numFmtId="170" fontId="1" fillId="0" borderId="0" xfId="353" applyNumberFormat="1" applyFont="1" applyBorder="1" applyAlignment="1" applyProtection="1">
      <alignment horizontal="center"/>
      <protection locked="0"/>
    </xf>
    <xf numFmtId="5" fontId="1" fillId="0" borderId="0" xfId="353" applyNumberFormat="1" applyFont="1" applyFill="1" applyBorder="1" applyAlignment="1" applyProtection="1">
      <alignment horizontal="right"/>
      <protection locked="0"/>
    </xf>
    <xf numFmtId="5" fontId="1" fillId="0" borderId="0" xfId="353" applyNumberFormat="1" applyFont="1" applyBorder="1" applyAlignment="1" applyProtection="1">
      <alignment horizontal="right"/>
      <protection locked="0"/>
    </xf>
    <xf numFmtId="5" fontId="1" fillId="0" borderId="0" xfId="353" applyNumberFormat="1" applyFont="1" applyBorder="1" applyAlignment="1" applyProtection="1">
      <alignment horizontal="center"/>
      <protection locked="0"/>
    </xf>
    <xf numFmtId="49" fontId="1" fillId="0" borderId="0" xfId="353" applyNumberFormat="1" applyFont="1" applyBorder="1" applyAlignment="1" applyProtection="1">
      <alignment horizontal="left" indent="2"/>
      <protection locked="0"/>
    </xf>
    <xf numFmtId="4" fontId="47" fillId="0" borderId="0" xfId="353" applyFont="1" applyBorder="1" applyAlignment="1" applyProtection="1">
      <alignment horizontal="right"/>
      <protection locked="0"/>
    </xf>
    <xf numFmtId="168" fontId="1" fillId="0" borderId="0" xfId="92" applyNumberFormat="1" applyFont="1" applyFill="1" applyBorder="1" applyAlignment="1" applyProtection="1">
      <alignment horizontal="center"/>
      <protection locked="0"/>
    </xf>
    <xf numFmtId="4" fontId="47" fillId="0" borderId="0" xfId="353" applyNumberFormat="1" applyFont="1" applyBorder="1" applyAlignment="1" applyProtection="1">
      <alignment horizontal="center"/>
      <protection locked="0"/>
    </xf>
    <xf numFmtId="4" fontId="47" fillId="0" borderId="0" xfId="353" applyFont="1" applyBorder="1" applyAlignment="1" applyProtection="1">
      <alignment horizontal="left"/>
      <protection locked="0"/>
    </xf>
    <xf numFmtId="4" fontId="1" fillId="0" borderId="0" xfId="353" applyNumberFormat="1" applyBorder="1" applyAlignment="1" applyProtection="1">
      <alignment horizontal="right"/>
      <protection locked="0"/>
    </xf>
    <xf numFmtId="0" fontId="1" fillId="0" borderId="0" xfId="353" applyNumberFormat="1" applyBorder="1" applyAlignment="1" applyProtection="1">
      <alignment horizontal="center"/>
      <protection locked="0"/>
    </xf>
    <xf numFmtId="4" fontId="1" fillId="0" borderId="0" xfId="353" applyNumberFormat="1" applyBorder="1" applyAlignment="1" applyProtection="1">
      <protection locked="0"/>
    </xf>
    <xf numFmtId="4" fontId="1" fillId="0" borderId="0" xfId="353" applyBorder="1" applyAlignment="1">
      <alignment horizontal="left" vertical="top"/>
    </xf>
    <xf numFmtId="4" fontId="41" fillId="0" borderId="0" xfId="349" applyNumberFormat="1" applyBorder="1" applyAlignment="1"/>
    <xf numFmtId="0" fontId="41" fillId="0" borderId="0" xfId="349" applyNumberFormat="1" applyBorder="1" applyAlignment="1"/>
    <xf numFmtId="4" fontId="1" fillId="0" borderId="0" xfId="353" applyBorder="1" applyAlignment="1">
      <alignment horizontal="left" vertical="top" wrapText="1"/>
    </xf>
    <xf numFmtId="0" fontId="1" fillId="0" borderId="0" xfId="353" applyNumberFormat="1" applyBorder="1" applyAlignment="1">
      <alignment horizontal="left"/>
    </xf>
    <xf numFmtId="0" fontId="45" fillId="0" borderId="0" xfId="353" applyNumberFormat="1" applyFont="1" applyAlignment="1">
      <alignment horizontal="left" indent="1"/>
    </xf>
    <xf numFmtId="49" fontId="1" fillId="0" borderId="0" xfId="353" applyNumberFormat="1" applyFont="1" applyFill="1" applyAlignment="1" applyProtection="1">
      <alignment wrapText="1"/>
      <protection locked="0"/>
    </xf>
    <xf numFmtId="42" fontId="1" fillId="0" borderId="0" xfId="353" applyNumberFormat="1" applyFont="1" applyAlignment="1" applyProtection="1">
      <alignment horizontal="center"/>
      <protection locked="0"/>
    </xf>
    <xf numFmtId="2" fontId="47" fillId="0" borderId="0" xfId="353" applyNumberFormat="1" applyFont="1" applyAlignment="1" applyProtection="1">
      <alignment horizontal="right"/>
      <protection locked="0"/>
    </xf>
    <xf numFmtId="195" fontId="1" fillId="0" borderId="0" xfId="353" applyNumberFormat="1" applyFont="1" applyAlignment="1" applyProtection="1">
      <alignment horizontal="right"/>
      <protection locked="0"/>
    </xf>
    <xf numFmtId="195" fontId="1" fillId="0" borderId="0" xfId="353" applyNumberFormat="1" applyFont="1" applyAlignment="1" applyProtection="1">
      <alignment horizontal="center"/>
      <protection locked="0"/>
    </xf>
    <xf numFmtId="4" fontId="69" fillId="0" borderId="0" xfId="349" applyNumberFormat="1" applyFont="1" applyAlignment="1">
      <alignment horizontal="left" vertical="top"/>
    </xf>
    <xf numFmtId="0" fontId="69" fillId="0" borderId="0" xfId="349" applyFont="1" applyAlignment="1">
      <alignment horizontal="left" vertical="top"/>
    </xf>
    <xf numFmtId="49" fontId="1" fillId="0" borderId="0" xfId="353" applyNumberFormat="1" applyFont="1" applyFill="1" applyBorder="1" applyAlignment="1" applyProtection="1">
      <alignment horizontal="right"/>
      <protection locked="0"/>
    </xf>
    <xf numFmtId="169" fontId="61" fillId="0" borderId="0" xfId="353" applyNumberFormat="1" applyFont="1" applyAlignment="1" applyProtection="1">
      <alignment horizontal="right"/>
      <protection locked="0"/>
    </xf>
    <xf numFmtId="169" fontId="61" fillId="0" borderId="0" xfId="353" applyNumberFormat="1" applyFont="1" applyBorder="1" applyAlignment="1" applyProtection="1">
      <alignment horizontal="right"/>
      <protection locked="0"/>
    </xf>
    <xf numFmtId="1" fontId="1" fillId="0" borderId="0" xfId="353" applyNumberFormat="1" applyFont="1" applyBorder="1" applyAlignment="1" applyProtection="1">
      <alignment horizontal="right"/>
      <protection locked="0"/>
    </xf>
    <xf numFmtId="4" fontId="47" fillId="0" borderId="0" xfId="353" applyFont="1" applyAlignment="1">
      <alignment horizontal="left" vertical="top" indent="1"/>
    </xf>
    <xf numFmtId="4" fontId="45" fillId="0" borderId="0" xfId="353" applyNumberFormat="1" applyFont="1" applyProtection="1"/>
    <xf numFmtId="4" fontId="47" fillId="0" borderId="0" xfId="353" applyFont="1"/>
    <xf numFmtId="4" fontId="47" fillId="0" borderId="0" xfId="353" applyNumberFormat="1" applyFont="1"/>
    <xf numFmtId="4" fontId="47" fillId="0" borderId="0" xfId="353" applyNumberFormat="1" applyFont="1" applyAlignment="1">
      <alignment horizontal="right"/>
    </xf>
    <xf numFmtId="0" fontId="47" fillId="0" borderId="0" xfId="353" applyNumberFormat="1" applyFont="1" applyAlignment="1">
      <alignment horizontal="center"/>
    </xf>
    <xf numFmtId="3" fontId="47" fillId="0" borderId="0" xfId="353" applyNumberFormat="1" applyFont="1" applyAlignment="1"/>
    <xf numFmtId="0" fontId="47" fillId="0" borderId="0" xfId="353" applyNumberFormat="1" applyFont="1" applyAlignment="1">
      <alignment horizontal="right"/>
    </xf>
    <xf numFmtId="0" fontId="73" fillId="0" borderId="0" xfId="353" applyNumberFormat="1" applyFont="1" applyAlignment="1">
      <alignment horizontal="center"/>
    </xf>
    <xf numFmtId="166" fontId="47" fillId="0" borderId="0" xfId="353" applyNumberFormat="1" applyFont="1" applyAlignment="1">
      <alignment horizontal="right"/>
    </xf>
    <xf numFmtId="0" fontId="73" fillId="0" borderId="0" xfId="353" applyNumberFormat="1" applyFont="1" applyBorder="1" applyAlignment="1">
      <alignment horizontal="center" vertical="top"/>
    </xf>
    <xf numFmtId="167" fontId="47" fillId="0" borderId="0" xfId="353" applyNumberFormat="1" applyFont="1"/>
    <xf numFmtId="0" fontId="46" fillId="0" borderId="0" xfId="353" applyNumberFormat="1" applyFont="1" applyFill="1" applyBorder="1" applyAlignment="1" applyProtection="1">
      <alignment horizontal="center" vertical="top"/>
    </xf>
    <xf numFmtId="0" fontId="45" fillId="0" borderId="0" xfId="353" applyNumberFormat="1" applyFont="1" applyAlignment="1" applyProtection="1">
      <alignment horizontal="right"/>
    </xf>
    <xf numFmtId="0" fontId="73" fillId="0" borderId="0" xfId="353" applyNumberFormat="1" applyFont="1" applyBorder="1" applyAlignment="1" applyProtection="1">
      <alignment horizontal="center" vertical="top"/>
    </xf>
    <xf numFmtId="0" fontId="73" fillId="0" borderId="0" xfId="353" applyNumberFormat="1" applyFont="1" applyAlignment="1">
      <alignment horizontal="right"/>
    </xf>
    <xf numFmtId="4" fontId="47" fillId="0" borderId="0" xfId="353" applyFont="1" applyAlignment="1">
      <alignment horizontal="left" wrapText="1"/>
    </xf>
    <xf numFmtId="4" fontId="47" fillId="0" borderId="12" xfId="353" applyNumberFormat="1" applyFont="1" applyBorder="1" applyAlignment="1">
      <alignment horizontal="center"/>
    </xf>
    <xf numFmtId="0" fontId="47" fillId="0" borderId="13" xfId="353" applyNumberFormat="1" applyFont="1" applyBorder="1" applyAlignment="1">
      <alignment horizontal="center"/>
    </xf>
    <xf numFmtId="3" fontId="47" fillId="0" borderId="12" xfId="353" applyNumberFormat="1" applyFont="1" applyBorder="1" applyAlignment="1">
      <alignment horizontal="center"/>
    </xf>
    <xf numFmtId="4" fontId="47" fillId="0" borderId="14" xfId="353" applyNumberFormat="1" applyFont="1" applyBorder="1" applyAlignment="1">
      <alignment horizontal="center"/>
    </xf>
    <xf numFmtId="0" fontId="47" fillId="0" borderId="15" xfId="353" applyNumberFormat="1" applyFont="1" applyBorder="1" applyAlignment="1">
      <alignment horizontal="center"/>
    </xf>
    <xf numFmtId="3" fontId="47" fillId="0" borderId="14" xfId="353" applyNumberFormat="1" applyFont="1" applyBorder="1" applyAlignment="1">
      <alignment horizontal="center"/>
    </xf>
    <xf numFmtId="49" fontId="47" fillId="0" borderId="0" xfId="353" applyNumberFormat="1" applyFont="1" applyAlignment="1">
      <alignment horizontal="left" wrapText="1"/>
    </xf>
    <xf numFmtId="49" fontId="47" fillId="0" borderId="16" xfId="353" applyNumberFormat="1" applyFont="1" applyBorder="1" applyAlignment="1">
      <alignment horizontal="center"/>
    </xf>
    <xf numFmtId="0" fontId="47" fillId="0" borderId="17" xfId="353" applyNumberFormat="1" applyFont="1" applyBorder="1" applyAlignment="1">
      <alignment horizontal="center" textRotation="255"/>
    </xf>
    <xf numFmtId="0" fontId="47" fillId="0" borderId="16" xfId="353" applyNumberFormat="1" applyFont="1" applyBorder="1" applyAlignment="1">
      <alignment horizontal="center"/>
    </xf>
    <xf numFmtId="3" fontId="47" fillId="0" borderId="16" xfId="353" applyNumberFormat="1" applyFont="1" applyBorder="1" applyAlignment="1">
      <alignment horizontal="center"/>
    </xf>
    <xf numFmtId="168" fontId="1" fillId="0" borderId="0" xfId="92" quotePrefix="1" applyNumberFormat="1" applyFont="1" applyFill="1" applyAlignment="1" applyProtection="1">
      <alignment horizontal="right"/>
      <protection locked="0"/>
    </xf>
    <xf numFmtId="168" fontId="1" fillId="0" borderId="0" xfId="353" quotePrefix="1" applyNumberFormat="1" applyFont="1" applyAlignment="1" applyProtection="1">
      <alignment horizontal="right"/>
      <protection locked="0"/>
    </xf>
    <xf numFmtId="178" fontId="1" fillId="0" borderId="0" xfId="353" applyNumberFormat="1" applyFont="1" applyAlignment="1" applyProtection="1">
      <protection locked="0"/>
    </xf>
    <xf numFmtId="49" fontId="1" fillId="0" borderId="0" xfId="353" applyNumberFormat="1" applyFont="1" applyAlignment="1" applyProtection="1">
      <alignment wrapText="1"/>
      <protection locked="0"/>
    </xf>
    <xf numFmtId="194" fontId="1" fillId="0" borderId="0" xfId="353" applyNumberFormat="1" applyFont="1" applyAlignment="1" applyProtection="1">
      <protection locked="0"/>
    </xf>
    <xf numFmtId="178" fontId="1" fillId="0" borderId="0" xfId="289" applyNumberFormat="1" applyFont="1" applyAlignment="1" applyProtection="1">
      <alignment horizontal="right"/>
      <protection locked="0"/>
    </xf>
    <xf numFmtId="1" fontId="44" fillId="0" borderId="0" xfId="360" applyNumberFormat="1" applyFont="1" applyBorder="1" applyAlignment="1" applyProtection="1">
      <alignment horizontal="left" vertical="top"/>
    </xf>
    <xf numFmtId="4" fontId="45" fillId="0" borderId="0" xfId="360" applyNumberFormat="1" applyFont="1"/>
    <xf numFmtId="4" fontId="45" fillId="0" borderId="0" xfId="360" applyFont="1"/>
    <xf numFmtId="4" fontId="45" fillId="0" borderId="0" xfId="360" applyNumberFormat="1" applyFont="1" applyAlignment="1">
      <alignment horizontal="right"/>
    </xf>
    <xf numFmtId="4" fontId="45" fillId="0" borderId="0" xfId="360" applyNumberFormat="1" applyFont="1" applyFill="1" applyAlignment="1">
      <alignment horizontal="right"/>
    </xf>
    <xf numFmtId="0" fontId="45" fillId="0" borderId="0" xfId="360" applyNumberFormat="1" applyFont="1" applyFill="1" applyAlignment="1">
      <alignment horizontal="center"/>
    </xf>
    <xf numFmtId="0" fontId="44" fillId="0" borderId="0" xfId="360" applyNumberFormat="1" applyFont="1" applyBorder="1" applyAlignment="1" applyProtection="1">
      <alignment horizontal="left" vertical="top"/>
    </xf>
    <xf numFmtId="0" fontId="45" fillId="0" borderId="0" xfId="360" applyNumberFormat="1" applyFont="1" applyAlignment="1">
      <alignment horizontal="center"/>
    </xf>
    <xf numFmtId="49" fontId="45" fillId="0" borderId="0" xfId="360" applyNumberFormat="1" applyFont="1" applyAlignment="1">
      <alignment horizontal="right"/>
    </xf>
    <xf numFmtId="0" fontId="46" fillId="0" borderId="0" xfId="360" applyNumberFormat="1" applyFont="1" applyAlignment="1">
      <alignment horizontal="center"/>
    </xf>
    <xf numFmtId="49" fontId="45" fillId="0" borderId="0" xfId="360" applyNumberFormat="1" applyFont="1" applyFill="1" applyAlignment="1">
      <alignment horizontal="right"/>
    </xf>
    <xf numFmtId="166" fontId="44" fillId="0" borderId="0" xfId="360" applyNumberFormat="1" applyFont="1" applyBorder="1" applyAlignment="1" applyProtection="1">
      <alignment horizontal="left" vertical="top"/>
    </xf>
    <xf numFmtId="166" fontId="45" fillId="0" borderId="0" xfId="360" applyNumberFormat="1" applyFont="1" applyAlignment="1">
      <alignment horizontal="right"/>
    </xf>
    <xf numFmtId="166" fontId="45" fillId="0" borderId="0" xfId="360" applyNumberFormat="1" applyFont="1" applyFill="1" applyAlignment="1">
      <alignment horizontal="right"/>
    </xf>
    <xf numFmtId="167" fontId="44" fillId="0" borderId="0" xfId="360" applyNumberFormat="1" applyFont="1" applyBorder="1" applyAlignment="1" applyProtection="1">
      <alignment horizontal="left" vertical="top"/>
    </xf>
    <xf numFmtId="0" fontId="46" fillId="0" borderId="0" xfId="360" applyNumberFormat="1" applyFont="1" applyBorder="1" applyAlignment="1">
      <alignment horizontal="center" vertical="top"/>
    </xf>
    <xf numFmtId="167" fontId="45" fillId="0" borderId="0" xfId="360" applyNumberFormat="1" applyFont="1"/>
    <xf numFmtId="167" fontId="45" fillId="0" borderId="0" xfId="360" applyNumberFormat="1" applyFont="1" applyFill="1"/>
    <xf numFmtId="4" fontId="45" fillId="0" borderId="0" xfId="360" applyFont="1" applyFill="1"/>
    <xf numFmtId="0" fontId="46" fillId="0" borderId="0" xfId="360" applyNumberFormat="1" applyFont="1" applyFill="1" applyBorder="1" applyAlignment="1" applyProtection="1">
      <alignment horizontal="center" vertical="top"/>
      <protection locked="0"/>
    </xf>
    <xf numFmtId="0" fontId="45" fillId="0" borderId="0" xfId="360" applyNumberFormat="1" applyFont="1" applyAlignment="1" applyProtection="1">
      <alignment horizontal="right"/>
      <protection locked="0"/>
    </xf>
    <xf numFmtId="0" fontId="46" fillId="0" borderId="0" xfId="360" applyNumberFormat="1" applyFont="1" applyBorder="1" applyAlignment="1" applyProtection="1">
      <alignment horizontal="center" vertical="top"/>
    </xf>
    <xf numFmtId="0" fontId="46" fillId="0" borderId="0" xfId="360" applyNumberFormat="1" applyFont="1" applyAlignment="1">
      <alignment horizontal="right"/>
    </xf>
    <xf numFmtId="0" fontId="45" fillId="0" borderId="0" xfId="360" applyNumberFormat="1" applyFont="1" applyAlignment="1">
      <alignment horizontal="right"/>
    </xf>
    <xf numFmtId="0" fontId="45" fillId="0" borderId="0" xfId="360" applyNumberFormat="1" applyFont="1" applyFill="1" applyAlignment="1">
      <alignment horizontal="right"/>
    </xf>
    <xf numFmtId="4" fontId="45" fillId="0" borderId="0" xfId="360" applyFont="1" applyAlignment="1">
      <alignment horizontal="left" wrapText="1"/>
    </xf>
    <xf numFmtId="4" fontId="45" fillId="0" borderId="12" xfId="360" applyNumberFormat="1" applyFont="1" applyBorder="1" applyAlignment="1">
      <alignment horizontal="center"/>
    </xf>
    <xf numFmtId="0" fontId="45" fillId="0" borderId="13" xfId="360" applyNumberFormat="1" applyFont="1" applyBorder="1" applyAlignment="1">
      <alignment horizontal="center"/>
    </xf>
    <xf numFmtId="4" fontId="45" fillId="0" borderId="12" xfId="360" applyNumberFormat="1" applyFont="1" applyFill="1" applyBorder="1" applyAlignment="1">
      <alignment horizontal="center"/>
    </xf>
    <xf numFmtId="0" fontId="45" fillId="0" borderId="13" xfId="360" applyNumberFormat="1" applyFont="1" applyFill="1" applyBorder="1" applyAlignment="1">
      <alignment horizontal="center"/>
    </xf>
    <xf numFmtId="0" fontId="1" fillId="0" borderId="0" xfId="84"/>
    <xf numFmtId="4" fontId="45" fillId="0" borderId="14" xfId="360" applyNumberFormat="1" applyFont="1" applyBorder="1" applyAlignment="1">
      <alignment horizontal="center"/>
    </xf>
    <xf numFmtId="0" fontId="45" fillId="0" borderId="15" xfId="360" applyNumberFormat="1" applyFont="1" applyBorder="1" applyAlignment="1">
      <alignment horizontal="center"/>
    </xf>
    <xf numFmtId="4" fontId="45" fillId="0" borderId="14" xfId="360" applyNumberFormat="1" applyFont="1" applyFill="1" applyBorder="1" applyAlignment="1">
      <alignment horizontal="center"/>
    </xf>
    <xf numFmtId="0" fontId="45" fillId="0" borderId="15" xfId="360" applyNumberFormat="1" applyFont="1" applyFill="1" applyBorder="1" applyAlignment="1">
      <alignment horizontal="center"/>
    </xf>
    <xf numFmtId="49" fontId="45" fillId="0" borderId="0" xfId="360" applyNumberFormat="1" applyFont="1" applyAlignment="1">
      <alignment horizontal="left" wrapText="1"/>
    </xf>
    <xf numFmtId="0" fontId="45" fillId="0" borderId="16" xfId="360" applyNumberFormat="1" applyFont="1" applyBorder="1" applyAlignment="1">
      <alignment horizontal="center"/>
    </xf>
    <xf numFmtId="0" fontId="45" fillId="0" borderId="17" xfId="360" applyNumberFormat="1" applyFont="1" applyBorder="1" applyAlignment="1">
      <alignment horizontal="center" textRotation="255"/>
    </xf>
    <xf numFmtId="0" fontId="45" fillId="0" borderId="17" xfId="360" applyNumberFormat="1" applyFont="1" applyFill="1" applyBorder="1" applyAlignment="1">
      <alignment horizontal="center" textRotation="255"/>
    </xf>
    <xf numFmtId="0" fontId="45" fillId="0" borderId="16" xfId="360" applyNumberFormat="1" applyFont="1" applyFill="1" applyBorder="1" applyAlignment="1">
      <alignment horizontal="center"/>
    </xf>
    <xf numFmtId="170" fontId="1" fillId="0" borderId="0" xfId="360" applyNumberFormat="1" applyFont="1" applyAlignment="1" applyProtection="1">
      <alignment horizontal="right"/>
      <protection locked="0"/>
    </xf>
    <xf numFmtId="171" fontId="1" fillId="0" borderId="0" xfId="354" applyNumberFormat="1" applyFont="1" applyFill="1" applyAlignment="1" applyProtection="1">
      <alignment horizontal="right"/>
      <protection locked="0"/>
    </xf>
    <xf numFmtId="171" fontId="1" fillId="0" borderId="0" xfId="360" applyNumberFormat="1" applyFont="1" applyAlignment="1" applyProtection="1">
      <alignment horizontal="right"/>
      <protection locked="0"/>
    </xf>
    <xf numFmtId="3" fontId="1" fillId="0" borderId="0" xfId="351" applyNumberFormat="1" applyFont="1" applyAlignment="1" applyProtection="1">
      <protection locked="0"/>
    </xf>
    <xf numFmtId="170" fontId="1" fillId="0" borderId="0" xfId="352" applyNumberFormat="1" applyFont="1" applyAlignment="1" applyProtection="1">
      <alignment horizontal="right"/>
      <protection locked="0"/>
    </xf>
    <xf numFmtId="170" fontId="1" fillId="0" borderId="0" xfId="351" applyNumberFormat="1" applyFont="1" applyAlignment="1" applyProtection="1">
      <alignment horizontal="right"/>
      <protection locked="0"/>
    </xf>
    <xf numFmtId="49" fontId="45" fillId="0" borderId="16" xfId="354" applyNumberFormat="1" applyFont="1" applyBorder="1" applyAlignment="1">
      <alignment horizontal="center"/>
    </xf>
    <xf numFmtId="0" fontId="45" fillId="0" borderId="17" xfId="354" applyNumberFormat="1" applyFont="1" applyBorder="1" applyAlignment="1">
      <alignment horizontal="center" textRotation="255"/>
    </xf>
    <xf numFmtId="0" fontId="45" fillId="0" borderId="16" xfId="354" applyNumberFormat="1" applyFont="1" applyBorder="1" applyAlignment="1">
      <alignment horizontal="center"/>
    </xf>
    <xf numFmtId="3" fontId="1" fillId="0" borderId="0" xfId="354" applyNumberFormat="1" applyFont="1" applyAlignment="1" applyProtection="1">
      <alignment horizontal="center"/>
      <protection locked="0"/>
    </xf>
    <xf numFmtId="37" fontId="1" fillId="0" borderId="0" xfId="354" applyNumberFormat="1" applyFont="1" applyAlignment="1" applyProtection="1">
      <alignment horizontal="center"/>
      <protection locked="0"/>
    </xf>
    <xf numFmtId="37" fontId="47" fillId="0" borderId="0" xfId="354" applyNumberFormat="1" applyFont="1" applyAlignment="1" applyProtection="1">
      <alignment horizontal="center"/>
      <protection locked="0"/>
    </xf>
    <xf numFmtId="4" fontId="47" fillId="0" borderId="0" xfId="353" applyFont="1" applyAlignment="1">
      <alignment horizontal="right"/>
    </xf>
    <xf numFmtId="49" fontId="45" fillId="0" borderId="0" xfId="353" applyNumberFormat="1" applyFont="1" applyBorder="1" applyAlignment="1">
      <alignment horizontal="right"/>
    </xf>
    <xf numFmtId="4" fontId="52" fillId="0" borderId="0" xfId="353" applyFont="1" applyAlignment="1">
      <alignment horizontal="center"/>
    </xf>
    <xf numFmtId="37" fontId="1" fillId="0" borderId="0" xfId="353" applyNumberFormat="1" applyFont="1" applyAlignment="1">
      <alignment horizontal="right"/>
    </xf>
    <xf numFmtId="37" fontId="45" fillId="0" borderId="0" xfId="353" applyNumberFormat="1" applyFont="1" applyBorder="1" applyAlignment="1">
      <alignment horizontal="right"/>
    </xf>
    <xf numFmtId="197" fontId="1" fillId="0" borderId="0" xfId="92" applyNumberFormat="1" applyFont="1" applyAlignment="1" applyProtection="1">
      <alignment horizontal="right"/>
      <protection locked="0"/>
    </xf>
    <xf numFmtId="197" fontId="1" fillId="0" borderId="0" xfId="353" applyNumberFormat="1" applyFont="1" applyAlignment="1" applyProtection="1">
      <alignment horizontal="center"/>
      <protection locked="0"/>
    </xf>
    <xf numFmtId="197" fontId="1" fillId="0" borderId="0" xfId="353" applyNumberFormat="1" applyFont="1" applyAlignment="1" applyProtection="1">
      <alignment horizontal="right"/>
      <protection locked="0"/>
    </xf>
    <xf numFmtId="177" fontId="1" fillId="0" borderId="0" xfId="353" applyNumberFormat="1" applyFont="1" applyAlignment="1" applyProtection="1">
      <alignment horizontal="right"/>
      <protection locked="0"/>
    </xf>
    <xf numFmtId="177" fontId="1" fillId="0" borderId="0" xfId="353" applyNumberFormat="1" applyFont="1" applyAlignment="1" applyProtection="1">
      <protection locked="0"/>
    </xf>
    <xf numFmtId="49" fontId="49" fillId="0" borderId="0" xfId="353" applyNumberFormat="1" applyFont="1" applyAlignment="1" applyProtection="1">
      <alignment horizontal="left"/>
      <protection locked="0"/>
    </xf>
    <xf numFmtId="3" fontId="47" fillId="0" borderId="0" xfId="354" applyNumberFormat="1" applyFont="1" applyAlignment="1" applyProtection="1">
      <alignment horizontal="right"/>
      <protection locked="0"/>
    </xf>
    <xf numFmtId="4" fontId="47" fillId="0" borderId="0" xfId="353" applyFont="1" applyAlignment="1">
      <alignment horizontal="center"/>
    </xf>
    <xf numFmtId="0" fontId="1" fillId="0" borderId="0" xfId="353" applyNumberFormat="1" applyFont="1" applyBorder="1" applyAlignment="1">
      <alignment horizontal="right"/>
    </xf>
    <xf numFmtId="0" fontId="1" fillId="0" borderId="0" xfId="353" applyNumberFormat="1" applyFont="1" applyBorder="1" applyAlignment="1">
      <alignment horizontal="center" textRotation="255"/>
    </xf>
    <xf numFmtId="168" fontId="47" fillId="0" borderId="0" xfId="353" applyNumberFormat="1" applyFont="1" applyAlignment="1">
      <alignment horizontal="center"/>
    </xf>
    <xf numFmtId="168" fontId="1" fillId="0" borderId="0" xfId="353" applyNumberFormat="1" applyFont="1" applyBorder="1" applyAlignment="1">
      <alignment horizontal="right"/>
    </xf>
    <xf numFmtId="170" fontId="1" fillId="0" borderId="0" xfId="92" applyNumberFormat="1" applyFont="1" applyAlignment="1" applyProtection="1">
      <alignment horizontal="right"/>
      <protection locked="0"/>
    </xf>
    <xf numFmtId="170" fontId="47" fillId="0" borderId="0" xfId="353" applyNumberFormat="1" applyFont="1" applyAlignment="1">
      <alignment horizontal="center"/>
    </xf>
    <xf numFmtId="170" fontId="1" fillId="0" borderId="0" xfId="353" applyNumberFormat="1" applyFont="1" applyBorder="1" applyAlignment="1">
      <alignment horizontal="right"/>
    </xf>
    <xf numFmtId="0" fontId="1" fillId="0" borderId="0" xfId="353" applyNumberFormat="1" applyFont="1" applyAlignment="1">
      <alignment horizontal="left" wrapText="1"/>
    </xf>
    <xf numFmtId="0" fontId="1" fillId="0" borderId="0" xfId="353" applyNumberFormat="1" applyFont="1" applyBorder="1" applyAlignment="1" applyProtection="1">
      <alignment horizontal="right"/>
      <protection locked="0"/>
    </xf>
    <xf numFmtId="4" fontId="1" fillId="0" borderId="0" xfId="353" applyFill="1"/>
    <xf numFmtId="170" fontId="0" fillId="0" borderId="0" xfId="5" applyNumberFormat="1" applyFont="1" applyAlignment="1">
      <alignment horizontal="left" wrapText="1" indent="1"/>
    </xf>
    <xf numFmtId="170" fontId="41" fillId="0" borderId="0" xfId="349" applyNumberFormat="1" applyAlignment="1">
      <alignment horizontal="left" wrapText="1" indent="1"/>
    </xf>
    <xf numFmtId="4" fontId="1" fillId="33" borderId="0" xfId="353" applyFont="1" applyFill="1" applyAlignment="1" applyProtection="1">
      <alignment horizontal="right"/>
      <protection locked="0"/>
    </xf>
    <xf numFmtId="3" fontId="1" fillId="0" borderId="0" xfId="92" applyNumberFormat="1" applyFont="1" applyFill="1" applyAlignment="1" applyProtection="1">
      <alignment horizontal="center"/>
      <protection locked="0"/>
    </xf>
    <xf numFmtId="49" fontId="1" fillId="0" borderId="0" xfId="354" applyNumberFormat="1" applyFont="1" applyAlignment="1" applyProtection="1">
      <alignment horizontal="right"/>
      <protection locked="0"/>
    </xf>
    <xf numFmtId="9" fontId="1" fillId="0" borderId="0" xfId="354" applyNumberFormat="1" applyFont="1" applyAlignment="1" applyProtection="1">
      <alignment horizontal="right"/>
      <protection locked="0"/>
    </xf>
    <xf numFmtId="4" fontId="1" fillId="0" borderId="0" xfId="360" applyNumberFormat="1" applyFont="1" applyAlignment="1" applyProtection="1">
      <alignment horizontal="right"/>
      <protection locked="0"/>
    </xf>
    <xf numFmtId="7" fontId="1" fillId="0" borderId="0" xfId="353" applyNumberFormat="1" applyFont="1" applyAlignment="1" applyProtection="1">
      <protection locked="0"/>
    </xf>
    <xf numFmtId="170" fontId="1" fillId="0" borderId="0" xfId="5" applyNumberFormat="1" applyFont="1" applyAlignment="1" applyProtection="1">
      <protection locked="0"/>
    </xf>
    <xf numFmtId="168" fontId="1" fillId="0" borderId="0" xfId="9" applyNumberFormat="1" applyFont="1" applyAlignment="1" applyProtection="1">
      <alignment horizontal="right"/>
      <protection locked="0"/>
    </xf>
    <xf numFmtId="168" fontId="1" fillId="0" borderId="0" xfId="347" applyNumberFormat="1" applyFont="1" applyFill="1" applyAlignment="1" applyProtection="1">
      <alignment horizontal="right"/>
      <protection locked="0"/>
    </xf>
    <xf numFmtId="49" fontId="1" fillId="0" borderId="0" xfId="370" applyNumberFormat="1" applyFont="1" applyAlignment="1" applyProtection="1">
      <alignment horizontal="left" indent="1"/>
      <protection locked="0"/>
    </xf>
    <xf numFmtId="168" fontId="47" fillId="0" borderId="0" xfId="9" applyNumberFormat="1" applyFont="1" applyFill="1" applyAlignment="1" applyProtection="1">
      <alignment horizontal="right"/>
      <protection locked="0"/>
    </xf>
    <xf numFmtId="168" fontId="1" fillId="0" borderId="0" xfId="9" applyNumberFormat="1" applyFont="1" applyFill="1" applyAlignment="1" applyProtection="1">
      <alignment horizontal="right"/>
      <protection locked="0"/>
    </xf>
    <xf numFmtId="168" fontId="1" fillId="0" borderId="0" xfId="322" applyNumberFormat="1" applyFont="1" applyFill="1" applyAlignment="1" applyProtection="1">
      <alignment horizontal="right"/>
      <protection locked="0"/>
    </xf>
    <xf numFmtId="3" fontId="1" fillId="0" borderId="0" xfId="322" applyNumberFormat="1" applyFont="1" applyFill="1" applyAlignment="1" applyProtection="1">
      <alignment horizontal="right"/>
      <protection locked="0"/>
    </xf>
    <xf numFmtId="182" fontId="1" fillId="0" borderId="0" xfId="353" applyNumberFormat="1" applyFont="1" applyAlignment="1" applyProtection="1">
      <alignment horizontal="right"/>
      <protection locked="0"/>
    </xf>
    <xf numFmtId="43" fontId="1" fillId="0" borderId="0" xfId="353" applyNumberFormat="1" applyFont="1" applyAlignment="1" applyProtection="1">
      <alignment horizontal="center"/>
      <protection locked="0"/>
    </xf>
    <xf numFmtId="37" fontId="1" fillId="0" borderId="0" xfId="353" applyNumberFormat="1" applyFont="1" applyBorder="1" applyAlignment="1" applyProtection="1">
      <alignment horizontal="right"/>
      <protection locked="0"/>
    </xf>
    <xf numFmtId="4" fontId="50" fillId="0" borderId="0" xfId="353" applyFont="1" applyAlignment="1" applyProtection="1">
      <alignment horizontal="right"/>
      <protection locked="0"/>
    </xf>
    <xf numFmtId="37" fontId="47" fillId="0" borderId="0" xfId="353" applyNumberFormat="1" applyFont="1" applyAlignment="1" applyProtection="1">
      <alignment horizontal="left" wrapText="1"/>
      <protection locked="0"/>
    </xf>
    <xf numFmtId="37" fontId="47" fillId="0" borderId="0" xfId="353" applyNumberFormat="1" applyFont="1" applyAlignment="1" applyProtection="1">
      <alignment horizontal="right"/>
      <protection locked="0"/>
    </xf>
    <xf numFmtId="37" fontId="47" fillId="0" borderId="0" xfId="353" applyNumberFormat="1" applyFont="1" applyAlignment="1" applyProtection="1">
      <alignment horizontal="center"/>
      <protection locked="0"/>
    </xf>
    <xf numFmtId="0" fontId="41" fillId="0" borderId="0" xfId="349"/>
    <xf numFmtId="168" fontId="1" fillId="0" borderId="0" xfId="92" applyNumberFormat="1" applyFont="1" applyAlignment="1" applyProtection="1">
      <alignment horizontal="right"/>
    </xf>
    <xf numFmtId="170" fontId="1" fillId="0" borderId="0" xfId="353" applyNumberFormat="1" applyFont="1" applyAlignment="1" applyProtection="1">
      <alignment horizontal="right"/>
    </xf>
    <xf numFmtId="4" fontId="1" fillId="0" borderId="0" xfId="353" applyFont="1" applyAlignment="1" applyProtection="1">
      <alignment horizontal="right"/>
    </xf>
    <xf numFmtId="4" fontId="1" fillId="0" borderId="0" xfId="353" applyFont="1" applyAlignment="1" applyProtection="1">
      <alignment horizontal="center"/>
    </xf>
    <xf numFmtId="37" fontId="1" fillId="0" borderId="0" xfId="353" applyNumberFormat="1" applyFont="1" applyAlignment="1" applyProtection="1">
      <alignment horizontal="right"/>
    </xf>
    <xf numFmtId="170" fontId="1" fillId="0" borderId="0" xfId="5" applyNumberFormat="1" applyFont="1" applyAlignment="1" applyProtection="1">
      <alignment horizontal="right"/>
    </xf>
    <xf numFmtId="198" fontId="47" fillId="0" borderId="0" xfId="353" applyNumberFormat="1" applyFont="1" applyAlignment="1" applyProtection="1">
      <alignment horizontal="right"/>
      <protection locked="0"/>
    </xf>
    <xf numFmtId="37" fontId="1" fillId="0" borderId="0" xfId="92" applyNumberFormat="1" applyFont="1" applyAlignment="1" applyProtection="1">
      <alignment horizontal="center"/>
      <protection locked="0"/>
    </xf>
    <xf numFmtId="37" fontId="1" fillId="0" borderId="0" xfId="92" applyNumberFormat="1" applyFont="1" applyAlignment="1" applyProtection="1">
      <alignment horizontal="right"/>
    </xf>
    <xf numFmtId="168" fontId="1" fillId="0" borderId="0" xfId="92" applyNumberFormat="1" applyFont="1" applyAlignment="1" applyProtection="1">
      <alignment horizontal="center"/>
    </xf>
    <xf numFmtId="0" fontId="47" fillId="0" borderId="0" xfId="349" applyFont="1" applyFill="1" applyAlignment="1">
      <alignment horizontal="left" indent="1"/>
    </xf>
    <xf numFmtId="0" fontId="1" fillId="0" borderId="0" xfId="349" applyFont="1" applyFill="1" applyAlignment="1">
      <alignment horizontal="right" vertical="top" wrapText="1"/>
    </xf>
    <xf numFmtId="37" fontId="1" fillId="0" borderId="0" xfId="92" applyNumberFormat="1" applyFont="1" applyFill="1" applyAlignment="1" applyProtection="1">
      <alignment horizontal="right"/>
      <protection locked="0"/>
    </xf>
    <xf numFmtId="37" fontId="1" fillId="0" borderId="0" xfId="353" applyNumberFormat="1" applyFont="1" applyFill="1" applyAlignment="1" applyProtection="1">
      <alignment horizontal="right"/>
      <protection locked="0"/>
    </xf>
    <xf numFmtId="0" fontId="1" fillId="0" borderId="0" xfId="353" applyNumberFormat="1" applyFont="1" applyFill="1" applyAlignment="1" applyProtection="1">
      <alignment horizontal="left" indent="4"/>
      <protection locked="0"/>
    </xf>
    <xf numFmtId="0" fontId="1" fillId="0" borderId="0" xfId="353" applyNumberFormat="1" applyFont="1" applyFill="1" applyAlignment="1" applyProtection="1">
      <alignment horizontal="left" indent="3"/>
      <protection locked="0"/>
    </xf>
    <xf numFmtId="0" fontId="47" fillId="0" borderId="0" xfId="349" applyFont="1" applyAlignment="1">
      <alignment horizontal="left" indent="1"/>
    </xf>
    <xf numFmtId="0" fontId="1" fillId="0" borderId="0" xfId="353" applyNumberFormat="1" applyFont="1" applyAlignment="1" applyProtection="1">
      <alignment horizontal="left" indent="3"/>
      <protection locked="0"/>
    </xf>
    <xf numFmtId="3" fontId="1" fillId="0" borderId="0" xfId="92" applyNumberFormat="1" applyAlignment="1" applyProtection="1">
      <alignment horizontal="right"/>
      <protection locked="0"/>
    </xf>
    <xf numFmtId="0" fontId="1" fillId="0" borderId="0" xfId="92" applyNumberFormat="1" applyAlignment="1">
      <alignment horizontal="right"/>
    </xf>
    <xf numFmtId="37" fontId="1" fillId="0" borderId="0" xfId="92" applyNumberFormat="1" applyAlignment="1">
      <alignment horizontal="right"/>
    </xf>
    <xf numFmtId="0" fontId="1" fillId="0" borderId="0" xfId="353" applyNumberFormat="1" applyFont="1" applyAlignment="1" applyProtection="1">
      <alignment horizontal="left" indent="4"/>
      <protection locked="0"/>
    </xf>
    <xf numFmtId="4" fontId="74" fillId="0" borderId="0" xfId="353" applyNumberFormat="1" applyFont="1" applyAlignment="1" applyProtection="1">
      <alignment horizontal="right"/>
      <protection locked="0"/>
    </xf>
    <xf numFmtId="0" fontId="74" fillId="0" borderId="0" xfId="353" applyNumberFormat="1" applyFont="1" applyAlignment="1" applyProtection="1">
      <alignment horizontal="center"/>
      <protection locked="0"/>
    </xf>
    <xf numFmtId="4" fontId="74" fillId="0" borderId="0" xfId="353" applyNumberFormat="1" applyFont="1" applyAlignment="1" applyProtection="1">
      <protection locked="0"/>
    </xf>
    <xf numFmtId="1" fontId="7" fillId="0" borderId="0" xfId="354" applyNumberFormat="1" applyFont="1" applyBorder="1" applyAlignment="1">
      <alignment horizontal="right"/>
    </xf>
    <xf numFmtId="1" fontId="45" fillId="0" borderId="0" xfId="353" applyNumberFormat="1" applyFont="1" applyAlignment="1">
      <alignment horizontal="center"/>
    </xf>
    <xf numFmtId="1" fontId="45" fillId="0" borderId="0" xfId="353" applyNumberFormat="1" applyFont="1" applyBorder="1" applyAlignment="1">
      <alignment horizontal="right"/>
    </xf>
    <xf numFmtId="169" fontId="1" fillId="0" borderId="0" xfId="354" applyNumberFormat="1" applyFont="1" applyAlignment="1">
      <alignment horizontal="right"/>
    </xf>
    <xf numFmtId="169" fontId="45" fillId="0" borderId="0" xfId="353" applyNumberFormat="1" applyFont="1" applyAlignment="1">
      <alignment horizontal="center"/>
    </xf>
    <xf numFmtId="169" fontId="45" fillId="0" borderId="0" xfId="353" applyNumberFormat="1" applyFont="1" applyBorder="1" applyAlignment="1">
      <alignment horizontal="right"/>
    </xf>
    <xf numFmtId="9" fontId="7" fillId="0" borderId="0" xfId="7" applyNumberFormat="1" applyFont="1" applyBorder="1" applyAlignment="1">
      <alignment horizontal="right"/>
    </xf>
    <xf numFmtId="9" fontId="45" fillId="0" borderId="0" xfId="353" applyNumberFormat="1" applyFont="1" applyAlignment="1">
      <alignment horizontal="center"/>
    </xf>
    <xf numFmtId="9" fontId="45" fillId="0" borderId="0" xfId="353" applyNumberFormat="1" applyFont="1" applyBorder="1" applyAlignment="1">
      <alignment horizontal="right"/>
    </xf>
    <xf numFmtId="3" fontId="7" fillId="0" borderId="0" xfId="353" applyNumberFormat="1" applyFont="1" applyBorder="1" applyAlignment="1">
      <alignment horizontal="right"/>
    </xf>
    <xf numFmtId="169" fontId="1" fillId="0" borderId="0" xfId="353" applyNumberFormat="1" applyFont="1" applyAlignment="1">
      <alignment horizontal="right"/>
    </xf>
    <xf numFmtId="3" fontId="7" fillId="0" borderId="0" xfId="5" applyNumberFormat="1" applyFont="1" applyBorder="1" applyAlignment="1">
      <alignment horizontal="right"/>
    </xf>
    <xf numFmtId="3" fontId="45" fillId="0" borderId="0" xfId="353" applyNumberFormat="1" applyFont="1" applyBorder="1" applyAlignment="1">
      <alignment horizontal="right"/>
    </xf>
    <xf numFmtId="169" fontId="7" fillId="0" borderId="0" xfId="5" applyNumberFormat="1" applyFont="1" applyBorder="1" applyAlignment="1">
      <alignment horizontal="right"/>
    </xf>
    <xf numFmtId="9" fontId="7" fillId="0" borderId="0" xfId="5" applyNumberFormat="1" applyFont="1" applyBorder="1" applyAlignment="1">
      <alignment horizontal="right"/>
    </xf>
    <xf numFmtId="3" fontId="47" fillId="0" borderId="0" xfId="353" applyNumberFormat="1" applyFont="1" applyAlignment="1">
      <alignment horizontal="center"/>
    </xf>
    <xf numFmtId="169" fontId="47" fillId="0" borderId="0" xfId="353" applyNumberFormat="1" applyFont="1" applyAlignment="1">
      <alignment horizontal="center"/>
    </xf>
    <xf numFmtId="169" fontId="1" fillId="0" borderId="0" xfId="353" applyNumberFormat="1" applyFont="1" applyBorder="1" applyAlignment="1">
      <alignment horizontal="right"/>
    </xf>
    <xf numFmtId="37" fontId="7" fillId="0" borderId="0" xfId="353" applyNumberFormat="1" applyFont="1" applyBorder="1" applyAlignment="1">
      <alignment horizontal="right"/>
    </xf>
    <xf numFmtId="37" fontId="47" fillId="0" borderId="0" xfId="353" applyNumberFormat="1" applyFont="1" applyAlignment="1">
      <alignment horizontal="center"/>
    </xf>
    <xf numFmtId="37" fontId="7" fillId="0" borderId="0" xfId="5" applyNumberFormat="1" applyFont="1" applyBorder="1" applyAlignment="1">
      <alignment horizontal="right"/>
    </xf>
    <xf numFmtId="37" fontId="1" fillId="0" borderId="0" xfId="353" applyNumberFormat="1" applyFont="1" applyBorder="1" applyAlignment="1">
      <alignment horizontal="right"/>
    </xf>
    <xf numFmtId="0" fontId="1" fillId="0" borderId="0" xfId="353" applyNumberFormat="1" applyFont="1" applyAlignment="1" applyProtection="1">
      <protection locked="0"/>
    </xf>
    <xf numFmtId="37" fontId="43" fillId="0" borderId="0" xfId="353" applyNumberFormat="1" applyFont="1" applyBorder="1" applyAlignment="1">
      <alignment horizontal="right" vertical="top"/>
    </xf>
    <xf numFmtId="37" fontId="45" fillId="0" borderId="0" xfId="353" applyNumberFormat="1" applyFont="1"/>
    <xf numFmtId="37" fontId="45" fillId="0" borderId="0" xfId="353" applyNumberFormat="1" applyFont="1" applyAlignment="1">
      <alignment horizontal="right"/>
    </xf>
    <xf numFmtId="37" fontId="45" fillId="0" borderId="0" xfId="353" applyNumberFormat="1" applyFont="1" applyAlignment="1">
      <alignment horizontal="center"/>
    </xf>
    <xf numFmtId="37" fontId="44" fillId="0" borderId="0" xfId="353" applyNumberFormat="1" applyFont="1" applyBorder="1" applyAlignment="1" applyProtection="1">
      <alignment horizontal="left" vertical="top"/>
    </xf>
    <xf numFmtId="37" fontId="46" fillId="0" borderId="0" xfId="353" applyNumberFormat="1" applyFont="1" applyAlignment="1">
      <alignment horizontal="center"/>
    </xf>
    <xf numFmtId="37" fontId="46" fillId="0" borderId="0" xfId="353" applyNumberFormat="1" applyFont="1" applyBorder="1" applyAlignment="1">
      <alignment horizontal="center" vertical="top"/>
    </xf>
    <xf numFmtId="37" fontId="46" fillId="0" borderId="0" xfId="353" applyNumberFormat="1" applyFont="1" applyFill="1" applyBorder="1" applyAlignment="1" applyProtection="1">
      <alignment horizontal="center" vertical="top"/>
      <protection locked="0"/>
    </xf>
    <xf numFmtId="37" fontId="45" fillId="0" borderId="0" xfId="353" applyNumberFormat="1" applyFont="1" applyAlignment="1" applyProtection="1">
      <alignment horizontal="right"/>
      <protection locked="0"/>
    </xf>
    <xf numFmtId="37" fontId="46" fillId="0" borderId="0" xfId="353" applyNumberFormat="1" applyFont="1" applyBorder="1" applyAlignment="1" applyProtection="1">
      <alignment horizontal="center" vertical="top"/>
    </xf>
    <xf numFmtId="37" fontId="46" fillId="0" borderId="0" xfId="353" applyNumberFormat="1" applyFont="1" applyAlignment="1">
      <alignment horizontal="right"/>
    </xf>
    <xf numFmtId="37" fontId="45" fillId="0" borderId="0" xfId="353" applyNumberFormat="1" applyFont="1" applyAlignment="1">
      <alignment horizontal="left"/>
    </xf>
    <xf numFmtId="37" fontId="45" fillId="0" borderId="0" xfId="353" applyNumberFormat="1" applyFont="1" applyAlignment="1">
      <alignment horizontal="left" wrapText="1"/>
    </xf>
    <xf numFmtId="37" fontId="45" fillId="0" borderId="12" xfId="353" applyNumberFormat="1" applyFont="1" applyBorder="1" applyAlignment="1">
      <alignment horizontal="center"/>
    </xf>
    <xf numFmtId="37" fontId="45" fillId="0" borderId="13" xfId="353" applyNumberFormat="1" applyFont="1" applyBorder="1" applyAlignment="1">
      <alignment horizontal="center"/>
    </xf>
    <xf numFmtId="37" fontId="1" fillId="0" borderId="0" xfId="353" applyNumberFormat="1" applyAlignment="1">
      <alignment horizontal="left"/>
    </xf>
    <xf numFmtId="37" fontId="1" fillId="0" borderId="0" xfId="353" applyNumberFormat="1" applyAlignment="1">
      <alignment horizontal="left" wrapText="1"/>
    </xf>
    <xf numFmtId="37" fontId="45" fillId="0" borderId="14" xfId="353" applyNumberFormat="1" applyFont="1" applyBorder="1" applyAlignment="1">
      <alignment horizontal="center"/>
    </xf>
    <xf numFmtId="37" fontId="45" fillId="0" borderId="15" xfId="353" applyNumberFormat="1" applyFont="1" applyBorder="1" applyAlignment="1">
      <alignment horizontal="center"/>
    </xf>
    <xf numFmtId="37" fontId="1" fillId="0" borderId="0" xfId="353" applyNumberFormat="1"/>
    <xf numFmtId="37" fontId="45" fillId="0" borderId="16" xfId="353" applyNumberFormat="1" applyFont="1" applyBorder="1" applyAlignment="1">
      <alignment horizontal="center"/>
    </xf>
    <xf numFmtId="37" fontId="45" fillId="0" borderId="17" xfId="353" applyNumberFormat="1" applyFont="1" applyBorder="1" applyAlignment="1">
      <alignment horizontal="center" textRotation="255"/>
    </xf>
    <xf numFmtId="37" fontId="47" fillId="0" borderId="0" xfId="353" applyNumberFormat="1" applyFont="1" applyAlignment="1" applyProtection="1">
      <alignment horizontal="left"/>
      <protection locked="0"/>
    </xf>
    <xf numFmtId="37" fontId="1" fillId="0" borderId="0" xfId="353" applyNumberFormat="1" applyFont="1" applyAlignment="1" applyProtection="1">
      <alignment horizontal="left"/>
      <protection locked="0"/>
    </xf>
    <xf numFmtId="37" fontId="1" fillId="0" borderId="0" xfId="353" applyNumberFormat="1" applyFont="1" applyBorder="1" applyAlignment="1" applyProtection="1">
      <alignment horizontal="left"/>
      <protection locked="0"/>
    </xf>
    <xf numFmtId="37" fontId="1" fillId="0" borderId="0" xfId="353" applyNumberFormat="1" applyFont="1" applyBorder="1" applyAlignment="1" applyProtection="1">
      <alignment horizontal="left" wrapText="1"/>
      <protection locked="0"/>
    </xf>
    <xf numFmtId="37" fontId="1" fillId="0" borderId="0" xfId="353" applyNumberFormat="1" applyProtection="1">
      <protection locked="0"/>
    </xf>
    <xf numFmtId="37" fontId="41" fillId="0" borderId="0" xfId="349" applyNumberFormat="1" applyAlignment="1"/>
    <xf numFmtId="37" fontId="41" fillId="0" borderId="0" xfId="349" applyNumberFormat="1" applyAlignment="1">
      <alignment wrapText="1"/>
    </xf>
    <xf numFmtId="37" fontId="1" fillId="0" borderId="0" xfId="353" applyNumberFormat="1" applyAlignment="1">
      <alignment horizontal="left" vertical="top"/>
    </xf>
    <xf numFmtId="37" fontId="1" fillId="0" borderId="0" xfId="353" applyNumberFormat="1" applyAlignment="1">
      <alignment horizontal="left" vertical="top" wrapText="1"/>
    </xf>
    <xf numFmtId="4" fontId="45" fillId="0" borderId="0" xfId="353" applyFont="1" applyFill="1" applyAlignment="1">
      <alignment horizontal="center"/>
    </xf>
    <xf numFmtId="3" fontId="1" fillId="0" borderId="0" xfId="361" applyNumberFormat="1" applyFont="1" applyFill="1" applyAlignment="1">
      <alignment horizontal="right"/>
    </xf>
    <xf numFmtId="3" fontId="1" fillId="0" borderId="0" xfId="353" applyNumberFormat="1" applyFont="1" applyFill="1" applyAlignment="1">
      <alignment horizontal="center"/>
    </xf>
    <xf numFmtId="0" fontId="52" fillId="0" borderId="0" xfId="353" applyNumberFormat="1" applyFont="1" applyAlignment="1">
      <alignment horizontal="left"/>
    </xf>
    <xf numFmtId="170" fontId="1" fillId="0" borderId="0" xfId="5" applyNumberFormat="1" applyAlignment="1">
      <alignment horizontal="right"/>
    </xf>
    <xf numFmtId="170" fontId="1" fillId="0" borderId="0" xfId="353" applyNumberFormat="1" applyAlignment="1">
      <alignment horizontal="right"/>
    </xf>
    <xf numFmtId="0" fontId="0" fillId="0" borderId="0" xfId="353" applyNumberFormat="1" applyFont="1" applyAlignment="1">
      <alignment horizontal="right"/>
    </xf>
    <xf numFmtId="4" fontId="47" fillId="0" borderId="0" xfId="354" applyFont="1" applyAlignment="1">
      <alignment horizontal="left" vertical="top"/>
    </xf>
    <xf numFmtId="3" fontId="1" fillId="0" borderId="0" xfId="361" applyNumberFormat="1" applyFont="1" applyAlignment="1">
      <alignment horizontal="right"/>
    </xf>
    <xf numFmtId="1" fontId="1" fillId="0" borderId="0" xfId="358" applyNumberFormat="1" applyFont="1" applyAlignment="1">
      <alignment horizontal="right"/>
    </xf>
    <xf numFmtId="1" fontId="45" fillId="0" borderId="0" xfId="360" applyNumberFormat="1" applyFont="1" applyAlignment="1">
      <alignment horizontal="center"/>
    </xf>
    <xf numFmtId="0" fontId="1" fillId="0" borderId="0" xfId="2"/>
    <xf numFmtId="0" fontId="1" fillId="0" borderId="0" xfId="2" applyNumberFormat="1"/>
    <xf numFmtId="170" fontId="1" fillId="0" borderId="0" xfId="2" applyNumberFormat="1"/>
    <xf numFmtId="3" fontId="1" fillId="0" borderId="0" xfId="356" applyNumberFormat="1" applyFont="1" applyAlignment="1" applyProtection="1">
      <protection locked="0"/>
    </xf>
    <xf numFmtId="171" fontId="1" fillId="0" borderId="0" xfId="353" applyNumberFormat="1" applyFont="1" applyAlignment="1" applyProtection="1">
      <protection locked="0"/>
    </xf>
    <xf numFmtId="3" fontId="7" fillId="0" borderId="0" xfId="353" applyNumberFormat="1" applyFont="1" applyBorder="1" applyAlignment="1" applyProtection="1">
      <protection locked="0"/>
    </xf>
    <xf numFmtId="171" fontId="1" fillId="0" borderId="0" xfId="353" applyNumberFormat="1" applyFont="1" applyBorder="1" applyAlignment="1" applyProtection="1">
      <protection locked="0"/>
    </xf>
    <xf numFmtId="49" fontId="1" fillId="0" borderId="0" xfId="369" applyNumberFormat="1" applyFont="1" applyAlignment="1" applyProtection="1">
      <alignment horizontal="left" indent="2"/>
      <protection locked="0"/>
    </xf>
    <xf numFmtId="3" fontId="7" fillId="0" borderId="0" xfId="353" applyNumberFormat="1" applyFont="1" applyAlignment="1" applyProtection="1">
      <alignment horizontal="right"/>
      <protection locked="0"/>
    </xf>
    <xf numFmtId="3" fontId="7" fillId="0" borderId="0" xfId="353" applyNumberFormat="1" applyFont="1" applyFill="1" applyBorder="1" applyAlignment="1" applyProtection="1">
      <protection locked="0"/>
    </xf>
    <xf numFmtId="3" fontId="7" fillId="0" borderId="0" xfId="370" applyNumberFormat="1" applyFont="1" applyFill="1" applyAlignment="1" applyProtection="1">
      <protection locked="0"/>
    </xf>
    <xf numFmtId="170" fontId="7" fillId="0" borderId="0" xfId="370" applyNumberFormat="1" applyFont="1" applyFill="1" applyAlignment="1" applyProtection="1">
      <protection locked="0"/>
    </xf>
    <xf numFmtId="0" fontId="44" fillId="0" borderId="0" xfId="354" applyNumberFormat="1" applyFont="1" applyBorder="1" applyAlignment="1" applyProtection="1">
      <alignment horizontal="left" vertical="top"/>
    </xf>
    <xf numFmtId="166" fontId="44" fillId="0" borderId="0" xfId="354" applyNumberFormat="1" applyFont="1" applyBorder="1" applyAlignment="1" applyProtection="1">
      <alignment horizontal="left" vertical="top"/>
    </xf>
    <xf numFmtId="167" fontId="44" fillId="0" borderId="0" xfId="354" applyNumberFormat="1" applyFont="1" applyBorder="1" applyAlignment="1" applyProtection="1">
      <alignment horizontal="left" vertical="top"/>
    </xf>
    <xf numFmtId="4" fontId="45" fillId="0" borderId="0" xfId="354" applyFont="1" applyAlignment="1">
      <alignment horizontal="center"/>
    </xf>
    <xf numFmtId="178" fontId="1" fillId="0" borderId="0" xfId="354" applyNumberFormat="1" applyFont="1" applyAlignment="1" applyProtection="1">
      <alignment horizontal="right"/>
      <protection locked="0"/>
    </xf>
    <xf numFmtId="178" fontId="1" fillId="0" borderId="0" xfId="354" applyNumberFormat="1" applyFont="1" applyAlignment="1" applyProtection="1">
      <alignment horizontal="center"/>
      <protection locked="0"/>
    </xf>
    <xf numFmtId="178" fontId="1" fillId="0" borderId="0" xfId="8" applyNumberFormat="1" applyFont="1" applyAlignment="1" applyProtection="1">
      <alignment horizontal="right"/>
      <protection locked="0"/>
    </xf>
    <xf numFmtId="168" fontId="1" fillId="0" borderId="0" xfId="354" applyNumberFormat="1" applyFont="1" applyAlignment="1" applyProtection="1">
      <alignment horizontal="center"/>
      <protection locked="0"/>
    </xf>
    <xf numFmtId="168" fontId="1" fillId="0" borderId="0" xfId="1" applyNumberFormat="1" applyFont="1" applyAlignment="1" applyProtection="1">
      <alignment horizontal="right"/>
      <protection locked="0"/>
    </xf>
    <xf numFmtId="37" fontId="1" fillId="0" borderId="0" xfId="354" applyNumberFormat="1" applyFont="1" applyAlignment="1" applyProtection="1">
      <protection locked="0"/>
    </xf>
    <xf numFmtId="49" fontId="1" fillId="0" borderId="0" xfId="354" applyNumberFormat="1" applyFont="1" applyAlignment="1" applyProtection="1">
      <protection locked="0"/>
    </xf>
    <xf numFmtId="168" fontId="1" fillId="0" borderId="0" xfId="1" applyNumberFormat="1" applyFont="1" applyAlignment="1" applyProtection="1">
      <protection locked="0"/>
    </xf>
    <xf numFmtId="4" fontId="1" fillId="0" borderId="0" xfId="354" applyAlignment="1">
      <alignment horizontal="left" vertical="top"/>
    </xf>
    <xf numFmtId="4" fontId="1" fillId="0" borderId="0" xfId="354" applyAlignment="1">
      <alignment horizontal="left" vertical="top" wrapText="1"/>
    </xf>
    <xf numFmtId="3" fontId="1" fillId="0" borderId="0" xfId="349" applyNumberFormat="1" applyFont="1" applyFill="1" applyProtection="1"/>
    <xf numFmtId="37" fontId="1" fillId="0" borderId="0" xfId="349" applyNumberFormat="1" applyFont="1" applyFill="1" applyProtection="1"/>
    <xf numFmtId="49" fontId="1" fillId="0" borderId="0" xfId="349" applyNumberFormat="1" applyFont="1" applyAlignment="1" applyProtection="1">
      <alignment horizontal="left" indent="1"/>
      <protection locked="0"/>
    </xf>
    <xf numFmtId="49" fontId="1" fillId="0" borderId="0" xfId="349" applyNumberFormat="1" applyFont="1" applyAlignment="1" applyProtection="1">
      <alignment horizontal="left" wrapText="1"/>
      <protection locked="0"/>
    </xf>
    <xf numFmtId="4" fontId="1" fillId="0" borderId="0" xfId="353" applyFont="1" applyFill="1" applyAlignment="1">
      <alignment horizontal="left" indent="1"/>
    </xf>
    <xf numFmtId="49" fontId="43" fillId="0" borderId="0" xfId="371" applyNumberFormat="1" applyFont="1" applyBorder="1" applyAlignment="1">
      <alignment horizontal="right" vertical="top"/>
    </xf>
    <xf numFmtId="1" fontId="44" fillId="0" borderId="0" xfId="371" applyNumberFormat="1" applyFont="1" applyBorder="1" applyAlignment="1" applyProtection="1">
      <alignment horizontal="left" vertical="top"/>
    </xf>
    <xf numFmtId="4" fontId="45" fillId="0" borderId="0" xfId="371" applyNumberFormat="1" applyFont="1"/>
    <xf numFmtId="4" fontId="45" fillId="0" borderId="0" xfId="371" applyFont="1"/>
    <xf numFmtId="4" fontId="45" fillId="0" borderId="0" xfId="371" applyNumberFormat="1" applyFont="1" applyAlignment="1">
      <alignment horizontal="right"/>
    </xf>
    <xf numFmtId="0" fontId="45" fillId="0" borderId="0" xfId="371" applyNumberFormat="1" applyFont="1" applyAlignment="1">
      <alignment horizontal="center"/>
    </xf>
    <xf numFmtId="0" fontId="44" fillId="0" borderId="0" xfId="371" applyNumberFormat="1" applyFont="1" applyBorder="1" applyAlignment="1" applyProtection="1">
      <alignment horizontal="left" vertical="top"/>
    </xf>
    <xf numFmtId="0" fontId="45" fillId="0" borderId="0" xfId="371" applyNumberFormat="1" applyFont="1" applyAlignment="1">
      <alignment horizontal="right"/>
    </xf>
    <xf numFmtId="0" fontId="46" fillId="0" borderId="0" xfId="371" applyNumberFormat="1" applyFont="1" applyAlignment="1">
      <alignment horizontal="center"/>
    </xf>
    <xf numFmtId="166" fontId="44" fillId="0" borderId="0" xfId="371" applyNumberFormat="1" applyFont="1" applyBorder="1" applyAlignment="1" applyProtection="1">
      <alignment horizontal="left" vertical="top"/>
    </xf>
    <xf numFmtId="166" fontId="45" fillId="0" borderId="0" xfId="371" applyNumberFormat="1" applyFont="1" applyAlignment="1">
      <alignment horizontal="right"/>
    </xf>
    <xf numFmtId="167" fontId="44" fillId="0" borderId="0" xfId="371" applyNumberFormat="1" applyFont="1" applyBorder="1" applyAlignment="1" applyProtection="1">
      <alignment horizontal="left" vertical="top"/>
    </xf>
    <xf numFmtId="0" fontId="46" fillId="0" borderId="0" xfId="371" applyNumberFormat="1" applyFont="1" applyBorder="1" applyAlignment="1">
      <alignment horizontal="center" vertical="top"/>
    </xf>
    <xf numFmtId="167" fontId="45" fillId="0" borderId="0" xfId="371" applyNumberFormat="1" applyFont="1"/>
    <xf numFmtId="0" fontId="43" fillId="0" borderId="0" xfId="371" applyNumberFormat="1" applyFont="1" applyBorder="1" applyAlignment="1">
      <alignment horizontal="right" vertical="top"/>
    </xf>
    <xf numFmtId="0" fontId="46" fillId="0" borderId="0" xfId="371" applyNumberFormat="1" applyFont="1" applyFill="1" applyBorder="1" applyAlignment="1" applyProtection="1">
      <alignment horizontal="center" vertical="top"/>
      <protection locked="0"/>
    </xf>
    <xf numFmtId="0" fontId="45" fillId="0" borderId="0" xfId="371" applyNumberFormat="1" applyFont="1" applyAlignment="1" applyProtection="1">
      <alignment horizontal="right"/>
      <protection locked="0"/>
    </xf>
    <xf numFmtId="0" fontId="46" fillId="0" borderId="0" xfId="371" applyNumberFormat="1" applyFont="1" applyBorder="1" applyAlignment="1" applyProtection="1">
      <alignment horizontal="center" vertical="top"/>
    </xf>
    <xf numFmtId="0" fontId="46" fillId="0" borderId="0" xfId="371" applyNumberFormat="1" applyFont="1" applyAlignment="1">
      <alignment horizontal="right"/>
    </xf>
    <xf numFmtId="4" fontId="45" fillId="0" borderId="0" xfId="371" applyFont="1" applyAlignment="1">
      <alignment horizontal="left"/>
    </xf>
    <xf numFmtId="4" fontId="45" fillId="0" borderId="0" xfId="371" applyFont="1" applyAlignment="1">
      <alignment horizontal="left" wrapText="1"/>
    </xf>
    <xf numFmtId="4" fontId="45" fillId="0" borderId="12" xfId="371" applyNumberFormat="1" applyFont="1" applyBorder="1" applyAlignment="1">
      <alignment horizontal="center"/>
    </xf>
    <xf numFmtId="0" fontId="45" fillId="0" borderId="13" xfId="371" applyNumberFormat="1" applyFont="1" applyBorder="1" applyAlignment="1">
      <alignment horizontal="center"/>
    </xf>
    <xf numFmtId="4" fontId="45" fillId="0" borderId="0" xfId="371" applyFont="1" applyAlignment="1">
      <alignment horizontal="center"/>
    </xf>
    <xf numFmtId="4" fontId="41" fillId="0" borderId="0" xfId="371" applyAlignment="1">
      <alignment horizontal="left"/>
    </xf>
    <xf numFmtId="4" fontId="41" fillId="0" borderId="0" xfId="371" applyAlignment="1">
      <alignment horizontal="left" wrapText="1"/>
    </xf>
    <xf numFmtId="4" fontId="45" fillId="0" borderId="14" xfId="371" applyNumberFormat="1" applyFont="1" applyBorder="1" applyAlignment="1">
      <alignment horizontal="center"/>
    </xf>
    <xf numFmtId="0" fontId="45" fillId="0" borderId="15" xfId="371" applyNumberFormat="1" applyFont="1" applyBorder="1" applyAlignment="1">
      <alignment horizontal="center"/>
    </xf>
    <xf numFmtId="4" fontId="41" fillId="0" borderId="0" xfId="371"/>
    <xf numFmtId="49" fontId="45" fillId="0" borderId="0" xfId="371" applyNumberFormat="1" applyFont="1" applyAlignment="1">
      <alignment horizontal="left"/>
    </xf>
    <xf numFmtId="49" fontId="45" fillId="0" borderId="0" xfId="371" applyNumberFormat="1" applyFont="1" applyAlignment="1">
      <alignment horizontal="left" wrapText="1"/>
    </xf>
    <xf numFmtId="49" fontId="45" fillId="0" borderId="16" xfId="371" applyNumberFormat="1" applyFont="1" applyBorder="1" applyAlignment="1">
      <alignment horizontal="center"/>
    </xf>
    <xf numFmtId="0" fontId="45" fillId="0" borderId="17" xfId="371" applyNumberFormat="1" applyFont="1" applyBorder="1" applyAlignment="1">
      <alignment horizontal="center" textRotation="255"/>
    </xf>
    <xf numFmtId="0" fontId="45" fillId="0" borderId="16" xfId="371" applyNumberFormat="1" applyFont="1" applyBorder="1" applyAlignment="1">
      <alignment horizontal="center"/>
    </xf>
    <xf numFmtId="49" fontId="47" fillId="0" borderId="0" xfId="371" applyNumberFormat="1" applyFont="1" applyAlignment="1" applyProtection="1">
      <alignment horizontal="left"/>
      <protection locked="0"/>
    </xf>
    <xf numFmtId="49" fontId="47" fillId="0" borderId="0" xfId="371" applyNumberFormat="1" applyFont="1" applyAlignment="1" applyProtection="1">
      <alignment horizontal="left" wrapText="1"/>
      <protection locked="0"/>
    </xf>
    <xf numFmtId="4" fontId="47" fillId="0" borderId="0" xfId="371" applyFont="1" applyAlignment="1" applyProtection="1">
      <alignment horizontal="center"/>
      <protection locked="0"/>
    </xf>
    <xf numFmtId="49" fontId="1" fillId="0" borderId="0" xfId="371" applyNumberFormat="1" applyFont="1" applyAlignment="1" applyProtection="1">
      <alignment horizontal="left" indent="1"/>
      <protection locked="0"/>
    </xf>
    <xf numFmtId="49" fontId="1" fillId="0" borderId="0" xfId="371" applyNumberFormat="1" applyFont="1" applyAlignment="1" applyProtection="1">
      <alignment horizontal="left" wrapText="1"/>
      <protection locked="0"/>
    </xf>
    <xf numFmtId="1" fontId="1" fillId="0" borderId="0" xfId="371" applyNumberFormat="1" applyFont="1" applyAlignment="1" applyProtection="1">
      <alignment horizontal="center"/>
      <protection locked="0"/>
    </xf>
    <xf numFmtId="4" fontId="1" fillId="0" borderId="0" xfId="371" applyFont="1" applyAlignment="1" applyProtection="1">
      <alignment horizontal="center"/>
      <protection locked="0"/>
    </xf>
    <xf numFmtId="49" fontId="47" fillId="0" borderId="0" xfId="371" applyNumberFormat="1" applyFont="1" applyBorder="1" applyAlignment="1" applyProtection="1">
      <alignment horizontal="left"/>
      <protection locked="0"/>
    </xf>
    <xf numFmtId="49" fontId="47" fillId="0" borderId="0" xfId="371" applyNumberFormat="1" applyFont="1" applyBorder="1" applyAlignment="1" applyProtection="1">
      <alignment horizontal="left" wrapText="1"/>
      <protection locked="0"/>
    </xf>
    <xf numFmtId="4" fontId="41" fillId="0" borderId="0" xfId="371" applyProtection="1">
      <protection locked="0"/>
    </xf>
    <xf numFmtId="4" fontId="47" fillId="0" borderId="0" xfId="371" applyFont="1" applyAlignment="1" applyProtection="1">
      <alignment horizontal="left"/>
      <protection locked="0"/>
    </xf>
    <xf numFmtId="4" fontId="47" fillId="0" borderId="0" xfId="371" applyFont="1" applyAlignment="1" applyProtection="1">
      <alignment horizontal="left" wrapText="1"/>
      <protection locked="0"/>
    </xf>
    <xf numFmtId="4" fontId="41" fillId="0" borderId="0" xfId="371" applyNumberFormat="1" applyAlignment="1" applyProtection="1">
      <alignment horizontal="right"/>
      <protection locked="0"/>
    </xf>
    <xf numFmtId="0" fontId="41" fillId="0" borderId="0" xfId="371" applyNumberFormat="1" applyAlignment="1" applyProtection="1">
      <alignment horizontal="center"/>
      <protection locked="0"/>
    </xf>
    <xf numFmtId="4" fontId="41" fillId="0" borderId="0" xfId="371" applyNumberFormat="1" applyAlignment="1" applyProtection="1">
      <protection locked="0"/>
    </xf>
    <xf numFmtId="4" fontId="41" fillId="0" borderId="0" xfId="371" applyAlignment="1">
      <alignment horizontal="left" vertical="top"/>
    </xf>
    <xf numFmtId="4" fontId="41" fillId="0" borderId="0" xfId="371" applyAlignment="1">
      <alignment horizontal="left" vertical="top" wrapText="1"/>
    </xf>
    <xf numFmtId="0" fontId="41" fillId="0" borderId="0" xfId="371" applyNumberFormat="1" applyAlignment="1">
      <alignment horizontal="left"/>
    </xf>
    <xf numFmtId="0" fontId="41" fillId="0" borderId="0" xfId="371" applyNumberFormat="1" applyAlignment="1">
      <alignment horizontal="right"/>
    </xf>
    <xf numFmtId="4" fontId="41" fillId="0" borderId="0" xfId="371" applyAlignment="1">
      <alignment horizontal="right"/>
    </xf>
    <xf numFmtId="0" fontId="41" fillId="0" borderId="0" xfId="371" applyNumberFormat="1" applyAlignment="1">
      <alignment horizontal="center"/>
    </xf>
    <xf numFmtId="41" fontId="1" fillId="0" borderId="0" xfId="353" applyNumberFormat="1" applyFont="1" applyAlignment="1" applyProtection="1">
      <alignment horizontal="center"/>
      <protection locked="0"/>
    </xf>
    <xf numFmtId="37" fontId="1" fillId="0" borderId="0" xfId="353" applyNumberFormat="1" applyFont="1" applyAlignment="1" applyProtection="1">
      <alignment horizontal="right" vertical="center"/>
      <protection locked="0"/>
    </xf>
    <xf numFmtId="0" fontId="39" fillId="0" borderId="0" xfId="348" quotePrefix="1"/>
    <xf numFmtId="0" fontId="39" fillId="0" borderId="0" xfId="348"/>
    <xf numFmtId="17" fontId="39" fillId="0" borderId="0" xfId="348" quotePrefix="1" applyNumberFormat="1"/>
    <xf numFmtId="0" fontId="39" fillId="0" borderId="0" xfId="348" applyNumberFormat="1"/>
    <xf numFmtId="4" fontId="48" fillId="0" borderId="0" xfId="353" applyFont="1" applyAlignment="1" applyProtection="1">
      <alignment horizontal="right"/>
      <protection locked="0"/>
    </xf>
    <xf numFmtId="169" fontId="1" fillId="0" borderId="0" xfId="355" applyNumberFormat="1" applyFont="1" applyFill="1" applyAlignment="1" applyProtection="1">
      <protection locked="0"/>
    </xf>
    <xf numFmtId="169" fontId="1" fillId="0" borderId="0" xfId="356" applyNumberFormat="1" applyFont="1" applyFill="1" applyAlignment="1" applyProtection="1">
      <protection locked="0"/>
    </xf>
    <xf numFmtId="4" fontId="1" fillId="0" borderId="0" xfId="355" applyFont="1" applyAlignment="1">
      <alignment horizontal="left" vertical="top" indent="1"/>
    </xf>
    <xf numFmtId="3" fontId="1" fillId="0" borderId="0" xfId="371" applyNumberFormat="1" applyFont="1" applyAlignment="1" applyProtection="1">
      <alignment horizontal="right"/>
      <protection locked="0"/>
    </xf>
    <xf numFmtId="49" fontId="1" fillId="0" borderId="0" xfId="371" applyNumberFormat="1" applyFont="1" applyFill="1" applyAlignment="1" applyProtection="1">
      <alignment horizontal="left"/>
      <protection locked="0"/>
    </xf>
    <xf numFmtId="49" fontId="1" fillId="0" borderId="0" xfId="371" applyNumberFormat="1" applyFont="1" applyFill="1" applyAlignment="1" applyProtection="1">
      <alignment horizontal="left" wrapText="1"/>
      <protection locked="0"/>
    </xf>
    <xf numFmtId="3" fontId="1" fillId="0" borderId="0" xfId="371" applyNumberFormat="1" applyFont="1" applyFill="1" applyAlignment="1" applyProtection="1">
      <alignment horizontal="right"/>
      <protection locked="0"/>
    </xf>
    <xf numFmtId="4" fontId="1" fillId="0" borderId="0" xfId="371" applyFont="1" applyFill="1" applyAlignment="1" applyProtection="1">
      <alignment horizontal="center"/>
      <protection locked="0"/>
    </xf>
    <xf numFmtId="49" fontId="1" fillId="0" borderId="0" xfId="371" applyNumberFormat="1" applyFont="1" applyFill="1" applyAlignment="1" applyProtection="1">
      <alignment horizontal="left" indent="1"/>
      <protection locked="0"/>
    </xf>
    <xf numFmtId="4" fontId="1" fillId="0" borderId="0" xfId="371" applyFont="1" applyAlignment="1" applyProtection="1">
      <alignment horizontal="right"/>
      <protection locked="0"/>
    </xf>
    <xf numFmtId="4" fontId="47" fillId="0" borderId="0" xfId="371" applyFont="1" applyAlignment="1" applyProtection="1">
      <alignment horizontal="right"/>
      <protection locked="0"/>
    </xf>
    <xf numFmtId="3" fontId="1" fillId="0" borderId="0" xfId="371" applyNumberFormat="1" applyFont="1" applyAlignment="1" applyProtection="1">
      <alignment horizontal="center"/>
      <protection locked="0"/>
    </xf>
    <xf numFmtId="4" fontId="47" fillId="0" borderId="0" xfId="371" applyFont="1" applyAlignment="1" applyProtection="1">
      <alignment horizontal="left"/>
    </xf>
    <xf numFmtId="4" fontId="47" fillId="0" borderId="0" xfId="371" applyFont="1" applyAlignment="1" applyProtection="1">
      <alignment horizontal="left" wrapText="1"/>
    </xf>
    <xf numFmtId="4" fontId="41" fillId="0" borderId="0" xfId="371" applyNumberFormat="1" applyAlignment="1" applyProtection="1">
      <alignment horizontal="right"/>
    </xf>
    <xf numFmtId="0" fontId="41" fillId="0" borderId="0" xfId="371" applyNumberFormat="1" applyAlignment="1" applyProtection="1">
      <alignment horizontal="center"/>
    </xf>
    <xf numFmtId="4" fontId="41" fillId="0" borderId="0" xfId="371" applyNumberFormat="1" applyAlignment="1" applyProtection="1"/>
    <xf numFmtId="0" fontId="45" fillId="0" borderId="14" xfId="353" applyNumberFormat="1" applyFont="1" applyBorder="1" applyAlignment="1">
      <alignment horizontal="center"/>
    </xf>
    <xf numFmtId="0" fontId="45" fillId="0" borderId="18" xfId="353" applyNumberFormat="1" applyFont="1" applyBorder="1" applyAlignment="1">
      <alignment horizontal="center" textRotation="255"/>
    </xf>
    <xf numFmtId="3" fontId="7" fillId="0" borderId="0" xfId="353" applyNumberFormat="1" applyFont="1" applyFill="1" applyBorder="1" applyAlignment="1" applyProtection="1">
      <alignment horizontal="right"/>
      <protection locked="0"/>
    </xf>
    <xf numFmtId="3" fontId="7" fillId="0" borderId="0" xfId="353" applyNumberFormat="1" applyFont="1" applyBorder="1" applyAlignment="1" applyProtection="1">
      <alignment horizontal="right"/>
      <protection locked="0"/>
    </xf>
    <xf numFmtId="49" fontId="7" fillId="0" borderId="0" xfId="353" applyNumberFormat="1" applyFont="1" applyBorder="1" applyAlignment="1" applyProtection="1">
      <alignment horizontal="right"/>
      <protection locked="0"/>
    </xf>
    <xf numFmtId="4" fontId="48" fillId="0" borderId="0" xfId="353" applyFont="1" applyFill="1" applyAlignment="1" applyProtection="1">
      <alignment horizontal="right"/>
      <protection locked="0"/>
    </xf>
    <xf numFmtId="169" fontId="7" fillId="0" borderId="0" xfId="353" applyNumberFormat="1" applyFont="1" applyFill="1" applyBorder="1" applyAlignment="1" applyProtection="1">
      <alignment horizontal="right"/>
      <protection locked="0"/>
    </xf>
    <xf numFmtId="4" fontId="45" fillId="0" borderId="0" xfId="371" applyNumberFormat="1" applyFont="1" applyFill="1"/>
    <xf numFmtId="0" fontId="44" fillId="0" borderId="0" xfId="371" applyNumberFormat="1" applyFont="1" applyFill="1" applyBorder="1" applyAlignment="1" applyProtection="1">
      <alignment horizontal="left" vertical="top"/>
    </xf>
    <xf numFmtId="166" fontId="44" fillId="0" borderId="0" xfId="371" applyNumberFormat="1" applyFont="1" applyFill="1" applyBorder="1" applyAlignment="1" applyProtection="1">
      <alignment horizontal="left" vertical="top"/>
    </xf>
    <xf numFmtId="167" fontId="44" fillId="0" borderId="0" xfId="371" applyNumberFormat="1" applyFont="1" applyFill="1" applyBorder="1" applyAlignment="1" applyProtection="1">
      <alignment horizontal="left" vertical="top"/>
    </xf>
    <xf numFmtId="0" fontId="45" fillId="0" borderId="0" xfId="371" applyNumberFormat="1" applyFont="1" applyFill="1" applyBorder="1" applyAlignment="1" applyProtection="1">
      <alignment horizontal="right"/>
      <protection locked="0"/>
    </xf>
    <xf numFmtId="0" fontId="46" fillId="0" borderId="0" xfId="371" applyNumberFormat="1" applyFont="1" applyBorder="1" applyAlignment="1">
      <alignment horizontal="right"/>
    </xf>
    <xf numFmtId="0" fontId="46" fillId="0" borderId="0" xfId="371" applyNumberFormat="1" applyFont="1" applyBorder="1" applyAlignment="1">
      <alignment horizontal="center"/>
    </xf>
    <xf numFmtId="0" fontId="45" fillId="0" borderId="0" xfId="371" applyNumberFormat="1" applyFont="1" applyBorder="1" applyAlignment="1">
      <alignment horizontal="right"/>
    </xf>
    <xf numFmtId="0" fontId="45" fillId="0" borderId="0" xfId="371" applyNumberFormat="1" applyFont="1" applyBorder="1" applyAlignment="1">
      <alignment horizontal="center"/>
    </xf>
    <xf numFmtId="4" fontId="45" fillId="0" borderId="12" xfId="371" applyNumberFormat="1" applyFont="1" applyFill="1" applyBorder="1" applyAlignment="1">
      <alignment horizontal="center"/>
    </xf>
    <xf numFmtId="4" fontId="45" fillId="0" borderId="14" xfId="371" applyNumberFormat="1" applyFont="1" applyFill="1" applyBorder="1" applyAlignment="1">
      <alignment horizontal="center"/>
    </xf>
    <xf numFmtId="49" fontId="45" fillId="0" borderId="16" xfId="371" applyNumberFormat="1" applyFont="1" applyFill="1" applyBorder="1" applyAlignment="1">
      <alignment horizontal="center"/>
    </xf>
    <xf numFmtId="3" fontId="47" fillId="0" borderId="0" xfId="371" applyNumberFormat="1" applyFont="1" applyAlignment="1" applyProtection="1">
      <protection locked="0"/>
    </xf>
    <xf numFmtId="49" fontId="1" fillId="0" borderId="0" xfId="371" applyNumberFormat="1" applyFont="1" applyAlignment="1" applyProtection="1">
      <alignment horizontal="left"/>
      <protection locked="0"/>
    </xf>
    <xf numFmtId="4" fontId="1" fillId="0" borderId="0" xfId="371" applyFont="1" applyFill="1" applyAlignment="1" applyProtection="1">
      <alignment horizontal="right"/>
      <protection locked="0"/>
    </xf>
    <xf numFmtId="3" fontId="1" fillId="0" borderId="0" xfId="371" applyNumberFormat="1" applyFont="1" applyBorder="1" applyAlignment="1" applyProtection="1">
      <protection locked="0"/>
    </xf>
    <xf numFmtId="3" fontId="1" fillId="0" borderId="0" xfId="371" applyNumberFormat="1" applyFont="1" applyFill="1" applyBorder="1" applyAlignment="1" applyProtection="1">
      <protection locked="0"/>
    </xf>
    <xf numFmtId="49" fontId="1" fillId="0" borderId="0" xfId="371" applyNumberFormat="1" applyFont="1" applyAlignment="1" applyProtection="1">
      <alignment horizontal="left" indent="2"/>
      <protection locked="0"/>
    </xf>
    <xf numFmtId="3" fontId="1" fillId="0" borderId="0" xfId="371" applyNumberFormat="1" applyFont="1" applyAlignment="1" applyProtection="1">
      <protection locked="0"/>
    </xf>
    <xf numFmtId="3" fontId="1" fillId="0" borderId="0" xfId="371" applyNumberFormat="1" applyFont="1" applyFill="1" applyAlignment="1" applyProtection="1">
      <alignment horizontal="center"/>
      <protection locked="0"/>
    </xf>
    <xf numFmtId="0" fontId="1" fillId="0" borderId="0" xfId="371" applyNumberFormat="1" applyFont="1" applyFill="1" applyAlignment="1" applyProtection="1">
      <alignment horizontal="right"/>
      <protection locked="0"/>
    </xf>
    <xf numFmtId="0" fontId="1" fillId="0" borderId="0" xfId="371" quotePrefix="1" applyNumberFormat="1" applyFont="1" applyFill="1" applyBorder="1" applyAlignment="1" applyProtection="1">
      <alignment horizontal="right"/>
      <protection locked="0"/>
    </xf>
    <xf numFmtId="169" fontId="1" fillId="0" borderId="0" xfId="371" applyNumberFormat="1" applyFont="1" applyFill="1" applyAlignment="1" applyProtection="1">
      <alignment horizontal="right"/>
      <protection locked="0"/>
    </xf>
    <xf numFmtId="169" fontId="1" fillId="0" borderId="0" xfId="371" applyNumberFormat="1" applyFont="1" applyFill="1" applyAlignment="1" applyProtection="1">
      <alignment horizontal="center"/>
      <protection locked="0"/>
    </xf>
    <xf numFmtId="169" fontId="1" fillId="0" borderId="0" xfId="371" applyNumberFormat="1" applyFont="1" applyAlignment="1" applyProtection="1">
      <protection locked="0"/>
    </xf>
    <xf numFmtId="1" fontId="1" fillId="0" borderId="0" xfId="371" applyNumberFormat="1" applyFont="1" applyFill="1" applyAlignment="1" applyProtection="1">
      <alignment horizontal="right"/>
      <protection locked="0"/>
    </xf>
    <xf numFmtId="1" fontId="1" fillId="0" borderId="0" xfId="371" applyNumberFormat="1" applyFont="1" applyAlignment="1" applyProtection="1">
      <alignment horizontal="right"/>
      <protection locked="0"/>
    </xf>
    <xf numFmtId="1" fontId="1" fillId="0" borderId="0" xfId="371" applyNumberFormat="1" applyFont="1" applyAlignment="1" applyProtection="1">
      <protection locked="0"/>
    </xf>
    <xf numFmtId="170" fontId="1" fillId="0" borderId="0" xfId="371" applyNumberFormat="1" applyFont="1" applyAlignment="1" applyProtection="1">
      <alignment horizontal="right"/>
      <protection locked="0"/>
    </xf>
    <xf numFmtId="170" fontId="1" fillId="0" borderId="0" xfId="371" applyNumberFormat="1" applyFont="1" applyAlignment="1" applyProtection="1">
      <protection locked="0"/>
    </xf>
    <xf numFmtId="169" fontId="1" fillId="0" borderId="0" xfId="371" applyNumberFormat="1" applyFont="1" applyAlignment="1" applyProtection="1">
      <alignment horizontal="right"/>
      <protection locked="0"/>
    </xf>
    <xf numFmtId="169" fontId="1" fillId="0" borderId="0" xfId="371" applyNumberFormat="1" applyFont="1" applyFill="1" applyAlignment="1" applyProtection="1">
      <protection locked="0"/>
    </xf>
    <xf numFmtId="189" fontId="1" fillId="0" borderId="0" xfId="371" applyNumberFormat="1" applyFont="1" applyAlignment="1" applyProtection="1">
      <alignment horizontal="center"/>
      <protection locked="0"/>
    </xf>
    <xf numFmtId="196" fontId="1" fillId="0" borderId="0" xfId="371" applyNumberFormat="1" applyFont="1" applyAlignment="1" applyProtection="1">
      <alignment horizontal="center"/>
      <protection locked="0"/>
    </xf>
    <xf numFmtId="3" fontId="1" fillId="0" borderId="0" xfId="371" applyNumberFormat="1" applyFont="1" applyFill="1" applyAlignment="1" applyProtection="1">
      <protection locked="0"/>
    </xf>
    <xf numFmtId="3" fontId="41" fillId="0" borderId="0" xfId="371" applyNumberFormat="1" applyAlignment="1" applyProtection="1">
      <protection locked="0"/>
    </xf>
    <xf numFmtId="4" fontId="41" fillId="0" borderId="0" xfId="371" applyNumberFormat="1" applyFill="1" applyAlignment="1" applyProtection="1">
      <alignment horizontal="right"/>
      <protection locked="0"/>
    </xf>
    <xf numFmtId="4" fontId="69" fillId="0" borderId="0" xfId="371" applyFont="1" applyAlignment="1">
      <alignment vertical="top"/>
    </xf>
    <xf numFmtId="4" fontId="47" fillId="0" borderId="0" xfId="371" applyNumberFormat="1" applyFont="1" applyAlignment="1">
      <alignment horizontal="right"/>
    </xf>
    <xf numFmtId="0" fontId="47" fillId="0" borderId="0" xfId="371" applyNumberFormat="1" applyFont="1" applyAlignment="1">
      <alignment horizontal="center"/>
    </xf>
    <xf numFmtId="0" fontId="47" fillId="0" borderId="0" xfId="371" applyNumberFormat="1" applyFont="1" applyAlignment="1">
      <alignment horizontal="right"/>
    </xf>
    <xf numFmtId="166" fontId="47" fillId="0" borderId="0" xfId="371" applyNumberFormat="1" applyFont="1" applyAlignment="1">
      <alignment horizontal="right"/>
    </xf>
    <xf numFmtId="167" fontId="47" fillId="0" borderId="0" xfId="371" applyNumberFormat="1" applyFont="1"/>
    <xf numFmtId="4" fontId="47" fillId="0" borderId="0" xfId="371" applyFont="1"/>
    <xf numFmtId="4" fontId="47" fillId="0" borderId="0" xfId="371" applyFont="1" applyAlignment="1">
      <alignment horizontal="left"/>
    </xf>
    <xf numFmtId="4" fontId="1" fillId="0" borderId="0" xfId="371" applyFont="1" applyAlignment="1">
      <alignment horizontal="left"/>
    </xf>
    <xf numFmtId="49" fontId="47" fillId="0" borderId="0" xfId="371" applyNumberFormat="1" applyFont="1" applyAlignment="1">
      <alignment horizontal="left"/>
    </xf>
    <xf numFmtId="171" fontId="1" fillId="0" borderId="0" xfId="371" applyNumberFormat="1" applyFont="1" applyAlignment="1" applyProtection="1">
      <alignment horizontal="right"/>
      <protection locked="0"/>
    </xf>
    <xf numFmtId="37" fontId="1" fillId="0" borderId="0" xfId="371" applyNumberFormat="1" applyFont="1" applyAlignment="1" applyProtection="1">
      <alignment horizontal="right"/>
      <protection locked="0"/>
    </xf>
    <xf numFmtId="4" fontId="1" fillId="0" borderId="0" xfId="371" applyFont="1" applyProtection="1">
      <protection locked="0"/>
    </xf>
    <xf numFmtId="4" fontId="1" fillId="0" borderId="0" xfId="371" applyNumberFormat="1" applyFont="1" applyAlignment="1" applyProtection="1">
      <alignment horizontal="right"/>
      <protection locked="0"/>
    </xf>
    <xf numFmtId="0" fontId="1" fillId="0" borderId="0" xfId="371" applyNumberFormat="1" applyFont="1" applyAlignment="1" applyProtection="1">
      <alignment horizontal="center"/>
      <protection locked="0"/>
    </xf>
    <xf numFmtId="4" fontId="1" fillId="0" borderId="0" xfId="371" applyNumberFormat="1" applyFont="1" applyAlignment="1" applyProtection="1">
      <protection locked="0"/>
    </xf>
    <xf numFmtId="3" fontId="41" fillId="0" borderId="0" xfId="371" applyNumberFormat="1" applyAlignment="1"/>
    <xf numFmtId="4" fontId="45" fillId="0" borderId="0" xfId="371" applyNumberFormat="1" applyFont="1" applyAlignment="1"/>
    <xf numFmtId="49" fontId="1" fillId="0" borderId="0" xfId="371" applyNumberFormat="1" applyFont="1" applyFill="1" applyAlignment="1" applyProtection="1">
      <alignment horizontal="left" indent="2"/>
      <protection locked="0"/>
    </xf>
    <xf numFmtId="4" fontId="1" fillId="0" borderId="0" xfId="371" applyFont="1" applyAlignment="1" applyProtection="1">
      <protection locked="0"/>
    </xf>
    <xf numFmtId="169" fontId="1" fillId="0" borderId="0" xfId="371" applyNumberFormat="1" applyFont="1" applyAlignment="1" applyProtection="1">
      <alignment horizontal="center"/>
      <protection locked="0"/>
    </xf>
    <xf numFmtId="170" fontId="1" fillId="0" borderId="0" xfId="371" applyNumberFormat="1" applyFont="1" applyAlignment="1" applyProtection="1">
      <alignment horizontal="center"/>
      <protection locked="0"/>
    </xf>
    <xf numFmtId="170" fontId="1" fillId="0" borderId="0" xfId="371" applyNumberFormat="1" applyFont="1" applyFill="1" applyAlignment="1" applyProtection="1">
      <alignment horizontal="center"/>
      <protection locked="0"/>
    </xf>
    <xf numFmtId="49" fontId="1" fillId="0" borderId="0" xfId="371" applyNumberFormat="1" applyFont="1" applyFill="1" applyAlignment="1" applyProtection="1">
      <alignment horizontal="left" wrapText="1" indent="2"/>
      <protection locked="0"/>
    </xf>
    <xf numFmtId="4" fontId="47" fillId="0" borderId="0" xfId="371" applyFont="1" applyAlignment="1" applyProtection="1">
      <protection locked="0"/>
    </xf>
    <xf numFmtId="4" fontId="1" fillId="0" borderId="0" xfId="371" applyFont="1" applyFill="1" applyAlignment="1" applyProtection="1">
      <protection locked="0"/>
    </xf>
    <xf numFmtId="4" fontId="0" fillId="0" borderId="0" xfId="371" applyFont="1" applyAlignment="1">
      <alignment horizontal="left" indent="1"/>
    </xf>
    <xf numFmtId="3" fontId="45" fillId="0" borderId="0" xfId="371" applyNumberFormat="1" applyFont="1" applyAlignment="1">
      <alignment horizontal="right"/>
    </xf>
    <xf numFmtId="3" fontId="45" fillId="0" borderId="0" xfId="371" applyNumberFormat="1" applyFont="1"/>
    <xf numFmtId="3" fontId="45" fillId="0" borderId="12" xfId="371" applyNumberFormat="1" applyFont="1" applyBorder="1" applyAlignment="1">
      <alignment horizontal="center"/>
    </xf>
    <xf numFmtId="3" fontId="45" fillId="0" borderId="14" xfId="371" applyNumberFormat="1" applyFont="1" applyBorder="1" applyAlignment="1">
      <alignment horizontal="center"/>
    </xf>
    <xf numFmtId="3" fontId="45" fillId="0" borderId="16" xfId="371" applyNumberFormat="1" applyFont="1" applyBorder="1" applyAlignment="1">
      <alignment horizontal="center"/>
    </xf>
    <xf numFmtId="3" fontId="47" fillId="0" borderId="0" xfId="371" applyNumberFormat="1" applyFont="1" applyAlignment="1" applyProtection="1">
      <alignment horizontal="center"/>
      <protection locked="0"/>
    </xf>
    <xf numFmtId="1" fontId="47" fillId="0" borderId="0" xfId="371" applyNumberFormat="1" applyFont="1" applyAlignment="1" applyProtection="1">
      <alignment horizontal="center"/>
      <protection locked="0"/>
    </xf>
    <xf numFmtId="3" fontId="47" fillId="0" borderId="0" xfId="371" applyNumberFormat="1" applyFont="1" applyAlignment="1" applyProtection="1">
      <alignment horizontal="right"/>
      <protection locked="0"/>
    </xf>
    <xf numFmtId="3" fontId="41" fillId="0" borderId="0" xfId="371" applyNumberFormat="1" applyProtection="1">
      <protection locked="0"/>
    </xf>
    <xf numFmtId="3" fontId="41" fillId="0" borderId="0" xfId="371" applyNumberFormat="1" applyAlignment="1">
      <alignment horizontal="right"/>
    </xf>
    <xf numFmtId="199" fontId="1" fillId="0" borderId="0" xfId="353" applyNumberFormat="1" applyFont="1" applyAlignment="1" applyProtection="1">
      <alignment horizontal="right"/>
      <protection locked="0"/>
    </xf>
    <xf numFmtId="4" fontId="47" fillId="0" borderId="0" xfId="353" applyNumberFormat="1" applyFont="1" applyAlignment="1" applyProtection="1">
      <protection locked="0"/>
    </xf>
    <xf numFmtId="199" fontId="1" fillId="0" borderId="0" xfId="289" applyNumberFormat="1" applyFont="1" applyAlignment="1" applyProtection="1">
      <protection locked="0"/>
    </xf>
    <xf numFmtId="3" fontId="1" fillId="0" borderId="0" xfId="353" applyNumberFormat="1" applyFont="1" applyAlignment="1"/>
    <xf numFmtId="3" fontId="1" fillId="0" borderId="0" xfId="8" applyNumberFormat="1" applyFont="1" applyAlignment="1"/>
    <xf numFmtId="4" fontId="52" fillId="0" borderId="0" xfId="353" applyFont="1" applyAlignment="1"/>
    <xf numFmtId="4" fontId="1" fillId="0" borderId="0" xfId="356" applyFont="1" applyFill="1" applyBorder="1" applyAlignment="1">
      <alignment horizontal="left"/>
    </xf>
    <xf numFmtId="0" fontId="1" fillId="0" borderId="0" xfId="356" applyNumberFormat="1" applyFont="1" applyFill="1" applyBorder="1" applyAlignment="1">
      <alignment horizontal="right"/>
    </xf>
    <xf numFmtId="0" fontId="47" fillId="0" borderId="0" xfId="353" applyNumberFormat="1" applyFont="1" applyFill="1" applyBorder="1" applyAlignment="1">
      <alignment horizontal="center"/>
    </xf>
    <xf numFmtId="169" fontId="1" fillId="0" borderId="0" xfId="6" applyNumberFormat="1" applyFont="1" applyFill="1" applyBorder="1" applyAlignment="1" applyProtection="1">
      <protection locked="0"/>
    </xf>
    <xf numFmtId="0" fontId="1" fillId="0" borderId="0" xfId="353" applyNumberFormat="1" applyFont="1" applyFill="1" applyBorder="1" applyAlignment="1">
      <alignment horizontal="right"/>
    </xf>
    <xf numFmtId="4" fontId="1" fillId="0" borderId="0" xfId="359" applyFont="1" applyFill="1" applyBorder="1" applyAlignment="1" applyProtection="1">
      <alignment horizontal="center"/>
      <protection locked="0"/>
    </xf>
    <xf numFmtId="4" fontId="47" fillId="0" borderId="0" xfId="359" applyFont="1" applyFill="1" applyBorder="1" applyAlignment="1" applyProtection="1">
      <alignment horizontal="center"/>
      <protection locked="0"/>
    </xf>
    <xf numFmtId="0" fontId="1" fillId="0" borderId="0" xfId="359" applyNumberFormat="1" applyFont="1" applyFill="1" applyBorder="1" applyAlignment="1" applyProtection="1">
      <alignment horizontal="right"/>
      <protection locked="0"/>
    </xf>
    <xf numFmtId="3" fontId="1" fillId="0" borderId="0" xfId="359" applyNumberFormat="1" applyFont="1" applyFill="1" applyBorder="1" applyAlignment="1" applyProtection="1">
      <alignment horizontal="right"/>
      <protection locked="0"/>
    </xf>
    <xf numFmtId="5" fontId="1" fillId="0" borderId="0" xfId="356" applyNumberFormat="1" applyFont="1" applyFill="1" applyBorder="1" applyAlignment="1" applyProtection="1">
      <alignment horizontal="right"/>
      <protection locked="0"/>
    </xf>
    <xf numFmtId="3" fontId="1" fillId="0" borderId="0" xfId="356" applyNumberFormat="1" applyFont="1" applyFill="1" applyAlignment="1" applyProtection="1">
      <protection locked="0"/>
    </xf>
    <xf numFmtId="4" fontId="1" fillId="0" borderId="0" xfId="356" applyFont="1" applyAlignment="1" applyProtection="1">
      <protection locked="0"/>
    </xf>
    <xf numFmtId="1" fontId="1" fillId="0" borderId="0" xfId="356" applyNumberFormat="1" applyFont="1" applyFill="1" applyAlignment="1" applyProtection="1">
      <protection locked="0"/>
    </xf>
    <xf numFmtId="3" fontId="1" fillId="0" borderId="0" xfId="360" applyNumberFormat="1" applyFont="1" applyFill="1" applyAlignment="1" applyProtection="1">
      <protection locked="0"/>
    </xf>
    <xf numFmtId="4" fontId="49" fillId="0" borderId="0" xfId="360" applyFont="1" applyFill="1" applyAlignment="1" applyProtection="1">
      <protection locked="0"/>
    </xf>
    <xf numFmtId="0" fontId="1" fillId="0" borderId="0" xfId="353" applyNumberFormat="1" applyFill="1" applyAlignment="1" applyProtection="1">
      <protection locked="0"/>
    </xf>
    <xf numFmtId="3" fontId="1" fillId="0" borderId="0" xfId="353" applyNumberFormat="1" applyFill="1" applyAlignment="1" applyProtection="1">
      <protection locked="0"/>
    </xf>
    <xf numFmtId="0" fontId="1" fillId="0" borderId="0" xfId="353" applyNumberFormat="1" applyFill="1" applyAlignment="1"/>
    <xf numFmtId="168" fontId="1" fillId="0" borderId="0" xfId="372" applyNumberFormat="1" applyFont="1" applyFill="1" applyAlignment="1">
      <alignment horizontal="right"/>
    </xf>
    <xf numFmtId="0" fontId="39" fillId="35" borderId="15" xfId="348" applyFill="1" applyBorder="1" applyAlignment="1" applyProtection="1">
      <alignment horizontal="center" vertical="center" wrapText="1"/>
    </xf>
    <xf numFmtId="0" fontId="39" fillId="35" borderId="17" xfId="348" applyFill="1" applyBorder="1" applyAlignment="1" applyProtection="1">
      <alignment horizontal="center" vertical="center" wrapText="1"/>
    </xf>
    <xf numFmtId="4" fontId="1" fillId="0" borderId="0" xfId="353" applyAlignment="1">
      <alignment horizontal="left" vertical="top" wrapText="1" indent="1"/>
    </xf>
    <xf numFmtId="0" fontId="41" fillId="0" borderId="0" xfId="349" applyAlignment="1">
      <alignment horizontal="left" wrapText="1" indent="1"/>
    </xf>
    <xf numFmtId="4" fontId="41" fillId="0" borderId="0" xfId="349" applyNumberFormat="1" applyAlignment="1">
      <alignment horizontal="left" wrapText="1" indent="1"/>
    </xf>
    <xf numFmtId="4" fontId="1" fillId="0" borderId="0" xfId="353" applyFont="1" applyAlignment="1">
      <alignment horizontal="left" vertical="top" wrapText="1" indent="1"/>
    </xf>
    <xf numFmtId="4" fontId="1" fillId="0" borderId="0" xfId="356" applyFont="1" applyFill="1" applyAlignment="1">
      <alignment horizontal="left" vertical="top" wrapText="1" indent="1"/>
    </xf>
    <xf numFmtId="0" fontId="41" fillId="0" borderId="0" xfId="349" applyFill="1" applyAlignment="1">
      <alignment horizontal="left" wrapText="1" indent="1"/>
    </xf>
    <xf numFmtId="4" fontId="41" fillId="0" borderId="0" xfId="349" applyNumberFormat="1" applyFill="1" applyAlignment="1">
      <alignment horizontal="left" wrapText="1" indent="1"/>
    </xf>
    <xf numFmtId="4" fontId="1" fillId="0" borderId="0" xfId="355" applyFont="1" applyFill="1" applyAlignment="1" applyProtection="1">
      <alignment horizontal="left" vertical="top" wrapText="1"/>
    </xf>
    <xf numFmtId="4" fontId="1" fillId="0" borderId="0" xfId="355" applyFont="1" applyFill="1" applyAlignment="1" applyProtection="1">
      <alignment horizontal="left" vertical="top" wrapText="1" indent="1"/>
    </xf>
    <xf numFmtId="4" fontId="1" fillId="0" borderId="0" xfId="353" applyFont="1" applyAlignment="1" applyProtection="1">
      <alignment horizontal="left" vertical="top" wrapText="1" indent="1"/>
    </xf>
    <xf numFmtId="4" fontId="1" fillId="0" borderId="0" xfId="353" applyFont="1" applyAlignment="1" applyProtection="1">
      <alignment horizontal="left" vertical="top" wrapText="1" indent="1"/>
      <protection locked="0"/>
    </xf>
    <xf numFmtId="0" fontId="41" fillId="0" borderId="0" xfId="349" applyAlignment="1" applyProtection="1">
      <alignment horizontal="left" wrapText="1" indent="1"/>
      <protection locked="0"/>
    </xf>
    <xf numFmtId="4" fontId="41" fillId="0" borderId="0" xfId="349" applyNumberFormat="1" applyAlignment="1" applyProtection="1">
      <alignment horizontal="left" wrapText="1" indent="1"/>
      <protection locked="0"/>
    </xf>
    <xf numFmtId="0" fontId="1" fillId="0" borderId="0" xfId="349" applyFont="1" applyAlignment="1">
      <alignment horizontal="left" wrapText="1" indent="1"/>
    </xf>
    <xf numFmtId="4" fontId="1" fillId="0" borderId="0" xfId="349" applyNumberFormat="1" applyFont="1" applyAlignment="1">
      <alignment horizontal="left" wrapText="1" indent="1"/>
    </xf>
    <xf numFmtId="4" fontId="1" fillId="0" borderId="0" xfId="358" applyFont="1" applyAlignment="1">
      <alignment horizontal="left" vertical="top" wrapText="1" indent="1"/>
    </xf>
    <xf numFmtId="0" fontId="1" fillId="0" borderId="0" xfId="349" applyFont="1" applyAlignment="1">
      <alignment horizontal="left" vertical="top" wrapText="1"/>
    </xf>
    <xf numFmtId="4" fontId="1" fillId="0" borderId="0" xfId="353" applyFont="1" applyAlignment="1">
      <alignment horizontal="left" vertical="top" wrapText="1"/>
    </xf>
    <xf numFmtId="4" fontId="1" fillId="0" borderId="0" xfId="354" applyFont="1" applyBorder="1" applyAlignment="1">
      <alignment horizontal="left" vertical="top" wrapText="1" indent="1"/>
    </xf>
    <xf numFmtId="4" fontId="0" fillId="0" borderId="0" xfId="354" applyFont="1" applyBorder="1" applyAlignment="1">
      <alignment horizontal="left" vertical="top" wrapText="1" indent="1"/>
    </xf>
    <xf numFmtId="4" fontId="0" fillId="0" borderId="0" xfId="353" applyFont="1" applyAlignment="1">
      <alignment horizontal="left" vertical="top" wrapText="1" indent="1"/>
    </xf>
    <xf numFmtId="4" fontId="1" fillId="0" borderId="0" xfId="354" applyFont="1" applyAlignment="1">
      <alignment horizontal="left" vertical="top" wrapText="1" indent="1"/>
    </xf>
    <xf numFmtId="4" fontId="0" fillId="0" borderId="0" xfId="354" applyFont="1" applyAlignment="1">
      <alignment horizontal="left" vertical="top" wrapText="1" indent="1"/>
    </xf>
    <xf numFmtId="4" fontId="1" fillId="0" borderId="0" xfId="353" quotePrefix="1" applyFont="1" applyAlignment="1">
      <alignment horizontal="left" vertical="top" wrapText="1" indent="1"/>
    </xf>
    <xf numFmtId="0" fontId="47" fillId="0" borderId="0" xfId="349" applyFont="1" applyAlignment="1">
      <alignment horizontal="left" wrapText="1" indent="1"/>
    </xf>
    <xf numFmtId="4" fontId="47" fillId="0" borderId="0" xfId="349" applyNumberFormat="1" applyFont="1" applyAlignment="1">
      <alignment horizontal="left" wrapText="1" indent="1"/>
    </xf>
    <xf numFmtId="4" fontId="1" fillId="0" borderId="0" xfId="356" applyFont="1" applyAlignment="1">
      <alignment horizontal="left" vertical="top" wrapText="1" indent="1"/>
    </xf>
    <xf numFmtId="4" fontId="1" fillId="0" borderId="0" xfId="360" applyFont="1" applyAlignment="1">
      <alignment horizontal="left" vertical="top" wrapText="1" indent="1"/>
    </xf>
    <xf numFmtId="0" fontId="41" fillId="0" borderId="0" xfId="349" applyAlignment="1">
      <alignment horizontal="left" vertical="top" wrapText="1" indent="1"/>
    </xf>
    <xf numFmtId="4" fontId="0" fillId="0" borderId="0" xfId="353" quotePrefix="1" applyFont="1" applyAlignment="1">
      <alignment horizontal="left" vertical="center" wrapText="1" indent="1"/>
    </xf>
    <xf numFmtId="0" fontId="41" fillId="0" borderId="0" xfId="349" applyAlignment="1">
      <alignment horizontal="left" vertical="center" wrapText="1" indent="1"/>
    </xf>
    <xf numFmtId="4" fontId="41" fillId="0" borderId="0" xfId="349" applyNumberFormat="1" applyAlignment="1">
      <alignment horizontal="left" vertical="center" wrapText="1" indent="1"/>
    </xf>
    <xf numFmtId="4" fontId="24" fillId="0" borderId="0" xfId="353" applyFont="1" applyAlignment="1" applyProtection="1">
      <alignment horizontal="left" vertical="top" wrapText="1"/>
      <protection locked="0"/>
    </xf>
    <xf numFmtId="4" fontId="24" fillId="0" borderId="0" xfId="356" applyFont="1" applyAlignment="1" applyProtection="1">
      <alignment horizontal="left" vertical="top" wrapText="1"/>
      <protection locked="0"/>
    </xf>
    <xf numFmtId="4" fontId="24" fillId="0" borderId="0" xfId="356" applyFont="1" applyAlignment="1" applyProtection="1">
      <alignment horizontal="left" vertical="center" wrapText="1"/>
      <protection locked="0"/>
    </xf>
    <xf numFmtId="4" fontId="24" fillId="0" borderId="0" xfId="353" applyFont="1" applyFill="1" applyAlignment="1" applyProtection="1">
      <alignment horizontal="left" vertical="top" wrapText="1"/>
      <protection locked="0"/>
    </xf>
    <xf numFmtId="4" fontId="24" fillId="0" borderId="0" xfId="353" applyFont="1" applyFill="1" applyAlignment="1" applyProtection="1">
      <alignment horizontal="left" wrapText="1"/>
      <protection locked="0"/>
    </xf>
    <xf numFmtId="4" fontId="1" fillId="0" borderId="0" xfId="353" applyFont="1" applyFill="1" applyAlignment="1" applyProtection="1">
      <alignment horizontal="left" wrapText="1"/>
      <protection locked="0"/>
    </xf>
    <xf numFmtId="4" fontId="24" fillId="0" borderId="0" xfId="353" applyFont="1" applyFill="1" applyAlignment="1" applyProtection="1">
      <alignment vertical="top" wrapText="1"/>
      <protection locked="0"/>
    </xf>
    <xf numFmtId="4" fontId="24" fillId="0" borderId="0" xfId="353" applyFont="1" applyFill="1" applyAlignment="1" applyProtection="1">
      <alignment horizontal="left" vertical="center" wrapText="1"/>
      <protection locked="0"/>
    </xf>
    <xf numFmtId="4" fontId="24" fillId="0" borderId="0" xfId="353" applyFont="1" applyAlignment="1" applyProtection="1">
      <alignment horizontal="left" wrapText="1"/>
      <protection locked="0"/>
    </xf>
    <xf numFmtId="4" fontId="1" fillId="0" borderId="0" xfId="353" applyFont="1" applyAlignment="1" applyProtection="1">
      <alignment horizontal="left" wrapText="1"/>
      <protection locked="0"/>
    </xf>
    <xf numFmtId="4" fontId="1" fillId="0" borderId="0" xfId="353" applyFont="1" applyAlignment="1" applyProtection="1">
      <alignment horizontal="center" wrapText="1"/>
      <protection locked="0"/>
    </xf>
    <xf numFmtId="4" fontId="1" fillId="0" borderId="0" xfId="353" applyFont="1" applyFill="1" applyAlignment="1" applyProtection="1">
      <alignment horizontal="left" vertical="top" wrapText="1"/>
      <protection locked="0"/>
    </xf>
    <xf numFmtId="4" fontId="1" fillId="0" borderId="0" xfId="353" applyFont="1" applyAlignment="1" applyProtection="1">
      <alignment horizontal="left" vertical="top" wrapText="1"/>
      <protection locked="0"/>
    </xf>
    <xf numFmtId="4" fontId="1" fillId="0" borderId="0" xfId="353" applyFont="1" applyFill="1" applyAlignment="1" applyProtection="1">
      <alignment vertical="top" wrapText="1"/>
      <protection locked="0"/>
    </xf>
    <xf numFmtId="4" fontId="1" fillId="0" borderId="0" xfId="353" applyFont="1" applyFill="1" applyAlignment="1" applyProtection="1">
      <alignment horizontal="left" vertical="center" wrapText="1"/>
      <protection locked="0"/>
    </xf>
    <xf numFmtId="4" fontId="1" fillId="0" borderId="0" xfId="355" applyFont="1" applyAlignment="1">
      <alignment horizontal="left" vertical="top" wrapText="1" indent="1"/>
    </xf>
    <xf numFmtId="4" fontId="1" fillId="0" borderId="0" xfId="355" applyFont="1" applyAlignment="1">
      <alignment horizontal="left" indent="1"/>
    </xf>
    <xf numFmtId="0" fontId="41" fillId="0" borderId="0" xfId="349" applyAlignment="1">
      <alignment horizontal="left" indent="1"/>
    </xf>
    <xf numFmtId="4" fontId="41" fillId="0" borderId="0" xfId="349" applyNumberFormat="1" applyAlignment="1">
      <alignment horizontal="left" indent="1"/>
    </xf>
    <xf numFmtId="4" fontId="1" fillId="0" borderId="0" xfId="365" applyFont="1" applyFill="1" applyAlignment="1">
      <alignment horizontal="left" vertical="top" wrapText="1"/>
    </xf>
    <xf numFmtId="4" fontId="1" fillId="0" borderId="0" xfId="353" quotePrefix="1" applyFont="1" applyFill="1" applyAlignment="1">
      <alignment horizontal="left" vertical="top" wrapText="1" indent="1"/>
    </xf>
    <xf numFmtId="4" fontId="1" fillId="0" borderId="0" xfId="353" applyFont="1" applyFill="1" applyAlignment="1">
      <alignment horizontal="left" vertical="top" wrapText="1" indent="1"/>
    </xf>
    <xf numFmtId="4" fontId="48" fillId="0" borderId="0" xfId="353" applyFont="1" applyAlignment="1">
      <alignment horizontal="left" vertical="top" wrapText="1" indent="1"/>
    </xf>
    <xf numFmtId="0" fontId="48" fillId="0" borderId="0" xfId="349" applyFont="1" applyAlignment="1">
      <alignment horizontal="left" wrapText="1" indent="1"/>
    </xf>
    <xf numFmtId="4" fontId="48" fillId="0" borderId="0" xfId="349" applyNumberFormat="1" applyFont="1" applyAlignment="1">
      <alignment horizontal="left" wrapText="1" indent="1"/>
    </xf>
    <xf numFmtId="4" fontId="1" fillId="0" borderId="0" xfId="355" applyFont="1" applyBorder="1" applyAlignment="1">
      <alignment horizontal="left" vertical="top" wrapText="1" indent="1"/>
    </xf>
    <xf numFmtId="0" fontId="41" fillId="0" borderId="0" xfId="349" applyBorder="1" applyAlignment="1">
      <alignment horizontal="left" wrapText="1" indent="1"/>
    </xf>
    <xf numFmtId="4" fontId="41" fillId="0" borderId="0" xfId="349" applyNumberFormat="1" applyBorder="1" applyAlignment="1">
      <alignment horizontal="left" wrapText="1" indent="1"/>
    </xf>
    <xf numFmtId="4" fontId="1" fillId="0" borderId="0" xfId="360" applyFont="1" applyAlignment="1">
      <alignment vertical="top" wrapText="1"/>
    </xf>
    <xf numFmtId="0" fontId="41" fillId="0" borderId="0" xfId="349" applyAlignment="1">
      <alignment wrapText="1"/>
    </xf>
    <xf numFmtId="4" fontId="41" fillId="0" borderId="0" xfId="349" applyNumberFormat="1" applyAlignment="1">
      <alignment wrapText="1"/>
    </xf>
    <xf numFmtId="0" fontId="41" fillId="0" borderId="0" xfId="349" applyAlignment="1">
      <alignment horizontal="left" wrapText="1"/>
    </xf>
    <xf numFmtId="4" fontId="41" fillId="0" borderId="0" xfId="349" applyNumberFormat="1" applyAlignment="1">
      <alignment horizontal="left" wrapText="1"/>
    </xf>
    <xf numFmtId="4" fontId="1" fillId="0" borderId="0" xfId="354" applyFont="1" applyFill="1" applyAlignment="1">
      <alignment horizontal="left" vertical="top" wrapText="1" indent="1"/>
    </xf>
    <xf numFmtId="4" fontId="1" fillId="0" borderId="0" xfId="364" quotePrefix="1" applyFont="1" applyAlignment="1">
      <alignment horizontal="left" vertical="top" wrapText="1" indent="1"/>
    </xf>
    <xf numFmtId="0" fontId="1" fillId="0" borderId="0" xfId="135" applyAlignment="1">
      <alignment horizontal="left" wrapText="1" indent="1"/>
    </xf>
    <xf numFmtId="4" fontId="1" fillId="0" borderId="0" xfId="135" applyNumberFormat="1" applyAlignment="1">
      <alignment horizontal="left" wrapText="1" indent="1"/>
    </xf>
    <xf numFmtId="4" fontId="1" fillId="0" borderId="0" xfId="354" applyFont="1" applyFill="1" applyAlignment="1" applyProtection="1">
      <alignment horizontal="left" vertical="top" wrapText="1" indent="1"/>
      <protection locked="0"/>
    </xf>
    <xf numFmtId="0" fontId="41" fillId="0" borderId="0" xfId="349" applyFill="1" applyAlignment="1">
      <alignment horizontal="left" vertical="top" wrapText="1" indent="1"/>
    </xf>
    <xf numFmtId="4" fontId="1" fillId="0" borderId="0" xfId="354" quotePrefix="1" applyFont="1" applyFill="1" applyAlignment="1">
      <alignment horizontal="left"/>
    </xf>
    <xf numFmtId="4" fontId="1" fillId="0" borderId="0" xfId="354" applyFont="1" applyFill="1" applyAlignment="1">
      <alignment horizontal="left"/>
    </xf>
    <xf numFmtId="4" fontId="1" fillId="0" borderId="0" xfId="353" quotePrefix="1" applyFont="1" applyFill="1" applyAlignment="1">
      <alignment horizontal="left" wrapText="1"/>
    </xf>
    <xf numFmtId="4" fontId="0" fillId="0" borderId="0" xfId="353" quotePrefix="1" applyFont="1" applyFill="1" applyAlignment="1">
      <alignment horizontal="left" wrapText="1"/>
    </xf>
    <xf numFmtId="4" fontId="1" fillId="0" borderId="0" xfId="353" applyFont="1" applyFill="1" applyAlignment="1">
      <alignment horizontal="left" wrapText="1"/>
    </xf>
    <xf numFmtId="4" fontId="1" fillId="0" borderId="0" xfId="358" applyFont="1" applyAlignment="1" applyProtection="1">
      <alignment horizontal="left" vertical="center" wrapText="1"/>
      <protection locked="0"/>
    </xf>
    <xf numFmtId="0" fontId="41" fillId="0" borderId="0" xfId="349" applyAlignment="1">
      <alignment vertical="center" wrapText="1"/>
    </xf>
    <xf numFmtId="4" fontId="1" fillId="0" borderId="0" xfId="356" applyFont="1" applyAlignment="1" applyProtection="1">
      <alignment horizontal="left" vertical="center" wrapText="1"/>
      <protection locked="0"/>
    </xf>
    <xf numFmtId="4" fontId="1" fillId="0" borderId="0" xfId="353" applyFont="1" applyAlignment="1">
      <alignment vertical="top" wrapText="1"/>
    </xf>
    <xf numFmtId="0" fontId="1" fillId="0" borderId="0" xfId="2" applyFill="1" applyAlignment="1">
      <alignment horizontal="left" wrapText="1" indent="1"/>
    </xf>
    <xf numFmtId="4" fontId="1" fillId="0" borderId="0" xfId="2" applyNumberFormat="1" applyFill="1" applyAlignment="1">
      <alignment horizontal="left" wrapText="1" indent="1"/>
    </xf>
    <xf numFmtId="4" fontId="0" fillId="0" borderId="0" xfId="353" applyFont="1" applyAlignment="1">
      <alignment horizontal="left" vertical="top" wrapText="1"/>
    </xf>
    <xf numFmtId="4" fontId="69" fillId="0" borderId="0" xfId="353" applyFont="1" applyAlignment="1" applyProtection="1">
      <alignment horizontal="left" vertical="top" wrapText="1"/>
      <protection locked="0"/>
    </xf>
    <xf numFmtId="0" fontId="69" fillId="0" borderId="0" xfId="349" applyFont="1" applyAlignment="1">
      <alignment vertical="top" wrapText="1"/>
    </xf>
    <xf numFmtId="4" fontId="41" fillId="0" borderId="0" xfId="371" applyAlignment="1">
      <alignment horizontal="left" vertical="top" wrapText="1" indent="1"/>
    </xf>
    <xf numFmtId="4" fontId="1" fillId="0" borderId="0" xfId="371" applyFont="1" applyAlignment="1">
      <alignment horizontal="left" vertical="top" wrapText="1" indent="1"/>
    </xf>
    <xf numFmtId="4" fontId="69" fillId="0" borderId="0" xfId="354" applyFont="1" applyAlignment="1">
      <alignment horizontal="left" vertical="top" wrapText="1" indent="1"/>
    </xf>
    <xf numFmtId="0" fontId="69" fillId="0" borderId="0" xfId="349" applyFont="1" applyAlignment="1">
      <alignment horizontal="left" wrapText="1" indent="1"/>
    </xf>
    <xf numFmtId="4" fontId="69" fillId="0" borderId="0" xfId="349" applyNumberFormat="1" applyFont="1" applyAlignment="1">
      <alignment horizontal="left" wrapText="1" indent="1"/>
    </xf>
    <xf numFmtId="4" fontId="1" fillId="0" borderId="0" xfId="353" applyFont="1" applyBorder="1" applyAlignment="1">
      <alignment horizontal="left" vertical="top" wrapText="1" indent="1"/>
    </xf>
    <xf numFmtId="4" fontId="1" fillId="0" borderId="0" xfId="353" applyBorder="1" applyAlignment="1">
      <alignment horizontal="left" vertical="top" wrapText="1" indent="1"/>
    </xf>
    <xf numFmtId="4" fontId="0" fillId="0" borderId="0" xfId="353" applyFont="1" applyBorder="1" applyAlignment="1">
      <alignment horizontal="left" vertical="top" wrapText="1" indent="1"/>
    </xf>
    <xf numFmtId="4" fontId="69" fillId="0" borderId="0" xfId="371" applyFont="1" applyAlignment="1">
      <alignment horizontal="left" vertical="top" wrapText="1"/>
    </xf>
    <xf numFmtId="0" fontId="69" fillId="0" borderId="0" xfId="349" applyFont="1" applyAlignment="1">
      <alignment horizontal="left" vertical="top" wrapText="1"/>
    </xf>
    <xf numFmtId="4" fontId="69" fillId="0" borderId="0" xfId="349" applyNumberFormat="1" applyFont="1" applyAlignment="1">
      <alignment horizontal="left" vertical="top" wrapText="1"/>
    </xf>
    <xf numFmtId="4" fontId="0" fillId="0" borderId="0" xfId="371" applyFont="1" applyAlignment="1">
      <alignment horizontal="left" vertical="top" wrapText="1" indent="1"/>
    </xf>
    <xf numFmtId="4" fontId="1" fillId="0" borderId="0" xfId="371" applyFont="1" applyAlignment="1" applyProtection="1">
      <alignment horizontal="left" vertical="center" wrapText="1"/>
      <protection locked="0"/>
    </xf>
    <xf numFmtId="4" fontId="1" fillId="0" borderId="0" xfId="371" applyFont="1" applyAlignment="1">
      <alignment horizontal="left" vertical="center" wrapText="1" indent="1"/>
    </xf>
    <xf numFmtId="1" fontId="1" fillId="0" borderId="0" xfId="353" applyNumberFormat="1" applyFont="1" applyAlignment="1">
      <alignment horizontal="left" vertical="top" wrapText="1"/>
    </xf>
    <xf numFmtId="1" fontId="41" fillId="0" borderId="0" xfId="349" applyNumberFormat="1" applyAlignment="1">
      <alignment horizontal="left" wrapText="1"/>
    </xf>
    <xf numFmtId="0" fontId="41" fillId="0" borderId="0" xfId="349"/>
    <xf numFmtId="37" fontId="1" fillId="0" borderId="0" xfId="353" applyNumberFormat="1" applyAlignment="1">
      <alignment horizontal="left" vertical="top" wrapText="1" indent="1"/>
    </xf>
    <xf numFmtId="37" fontId="41" fillId="0" borderId="0" xfId="349" applyNumberFormat="1" applyAlignment="1">
      <alignment horizontal="left" wrapText="1" indent="1"/>
    </xf>
    <xf numFmtId="37" fontId="1" fillId="0" borderId="0" xfId="353" applyNumberFormat="1" applyFont="1" applyAlignment="1">
      <alignment horizontal="left" vertical="top" wrapText="1" indent="1"/>
    </xf>
    <xf numFmtId="4" fontId="1" fillId="0" borderId="0" xfId="364" applyFont="1" applyAlignment="1">
      <alignment horizontal="left" vertical="top" wrapText="1" indent="1"/>
    </xf>
    <xf numFmtId="4" fontId="1" fillId="0" borderId="0" xfId="354" applyAlignment="1">
      <alignment horizontal="left" vertical="top" wrapText="1" indent="1"/>
    </xf>
    <xf numFmtId="4" fontId="1" fillId="0" borderId="0" xfId="361" applyFont="1" applyAlignment="1">
      <alignment horizontal="left" vertical="top" wrapText="1" indent="1"/>
    </xf>
  </cellXfs>
  <cellStyles count="373">
    <cellStyle name="20% - Accent1 2" xfId="40"/>
    <cellStyle name="20% - Accent2 2" xfId="41"/>
    <cellStyle name="20% - Accent3 2" xfId="42"/>
    <cellStyle name="20% - Accent4 2" xfId="43"/>
    <cellStyle name="20% - Accent5 2" xfId="50"/>
    <cellStyle name="20% - Accent6 2" xfId="51"/>
    <cellStyle name="40% - Accent1 2" xfId="52"/>
    <cellStyle name="40% - Accent2 2" xfId="53"/>
    <cellStyle name="40% - Accent3 2" xfId="44"/>
    <cellStyle name="40% - Accent4 2" xfId="54"/>
    <cellStyle name="40% - Accent5 2" xfId="55"/>
    <cellStyle name="40% - Accent6 2" xfId="56"/>
    <cellStyle name="60% - Accent1 2" xfId="57"/>
    <cellStyle name="60% - Accent2 2" xfId="58"/>
    <cellStyle name="60% - Accent3 2" xfId="45"/>
    <cellStyle name="60% - Accent4 2" xfId="46"/>
    <cellStyle name="60% - Accent5 2" xfId="59"/>
    <cellStyle name="60% - Accent6 2" xfId="47"/>
    <cellStyle name="Accent1 2" xfId="60"/>
    <cellStyle name="Accent2 2" xfId="61"/>
    <cellStyle name="Accent3 2" xfId="62"/>
    <cellStyle name="Accent4 2" xfId="63"/>
    <cellStyle name="Accent5 2" xfId="64"/>
    <cellStyle name="Accent6 2" xfId="65"/>
    <cellStyle name="Bad 2" xfId="66"/>
    <cellStyle name="Calculation 2" xfId="67"/>
    <cellStyle name="Check Cell 2" xfId="68"/>
    <cellStyle name="Comma" xfId="372" builtinId="3"/>
    <cellStyle name="Comma [0] 2" xfId="217"/>
    <cellStyle name="Comma 10" xfId="93"/>
    <cellStyle name="Comma 11" xfId="92"/>
    <cellStyle name="Comma 11 2" xfId="142"/>
    <cellStyle name="Comma 12" xfId="94"/>
    <cellStyle name="Comma 12 2" xfId="95"/>
    <cellStyle name="Comma 12 3" xfId="291"/>
    <cellStyle name="Comma 13" xfId="143"/>
    <cellStyle name="Comma 14" xfId="218"/>
    <cellStyle name="Comma 15" xfId="144"/>
    <cellStyle name="Comma 16" xfId="219"/>
    <cellStyle name="Comma 17" xfId="220"/>
    <cellStyle name="Comma 18" xfId="221"/>
    <cellStyle name="Comma 18 2" xfId="322"/>
    <cellStyle name="Comma 19" xfId="10"/>
    <cellStyle name="Comma 19 2" xfId="323"/>
    <cellStyle name="Comma 2" xfId="1"/>
    <cellStyle name="Comma 2 10" xfId="11"/>
    <cellStyle name="Comma 2 11" xfId="12"/>
    <cellStyle name="Comma 2 12" xfId="13"/>
    <cellStyle name="Comma 2 13" xfId="14"/>
    <cellStyle name="Comma 2 14" xfId="15"/>
    <cellStyle name="Comma 2 15" xfId="16"/>
    <cellStyle name="Comma 2 16" xfId="17"/>
    <cellStyle name="Comma 2 17" xfId="18"/>
    <cellStyle name="Comma 2 18" xfId="216"/>
    <cellStyle name="Comma 2 2" xfId="19"/>
    <cellStyle name="Comma 2 2 2" xfId="37"/>
    <cellStyle name="Comma 2 2 3" xfId="283"/>
    <cellStyle name="Comma 2 3" xfId="20"/>
    <cellStyle name="Comma 2 3 2" xfId="145"/>
    <cellStyle name="Comma 2 3 3" xfId="284"/>
    <cellStyle name="Comma 2 4" xfId="21"/>
    <cellStyle name="Comma 2 4 2" xfId="222"/>
    <cellStyle name="Comma 2 5" xfId="22"/>
    <cellStyle name="Comma 2 5 2" xfId="329"/>
    <cellStyle name="Comma 2 6" xfId="23"/>
    <cellStyle name="Comma 2 7" xfId="24"/>
    <cellStyle name="Comma 2 8" xfId="25"/>
    <cellStyle name="Comma 2 9" xfId="26"/>
    <cellStyle name="Comma 20" xfId="9"/>
    <cellStyle name="Comma 20 2" xfId="347"/>
    <cellStyle name="Comma 21" xfId="223"/>
    <cellStyle name="Comma 22" xfId="224"/>
    <cellStyle name="Comma 23" xfId="225"/>
    <cellStyle name="Comma 24" xfId="226"/>
    <cellStyle name="Comma 25" xfId="227"/>
    <cellStyle name="Comma 26" xfId="228"/>
    <cellStyle name="Comma 27" xfId="229"/>
    <cellStyle name="Comma 28" xfId="230"/>
    <cellStyle name="Comma 29" xfId="213"/>
    <cellStyle name="Comma 3" xfId="3"/>
    <cellStyle name="Comma 3 2" xfId="38"/>
    <cellStyle name="Comma 3 2 2" xfId="231"/>
    <cellStyle name="Comma 3 2 2 2" xfId="232"/>
    <cellStyle name="Comma 3 2 2 3" xfId="233"/>
    <cellStyle name="Comma 3 2 3" xfId="234"/>
    <cellStyle name="Comma 3 3" xfId="107"/>
    <cellStyle name="Comma 3 3 2" xfId="235"/>
    <cellStyle name="Comma 3 3 2 2" xfId="296"/>
    <cellStyle name="Comma 3 3 2 3" xfId="297"/>
    <cellStyle name="Comma 3 3 3" xfId="298"/>
    <cellStyle name="Comma 3 3 4" xfId="299"/>
    <cellStyle name="Comma 3 4" xfId="211"/>
    <cellStyle name="Comma 3 4 2" xfId="300"/>
    <cellStyle name="Comma 3 4 3" xfId="301"/>
    <cellStyle name="Comma 3 5" xfId="302"/>
    <cellStyle name="Comma 3 6" xfId="303"/>
    <cellStyle name="Comma 30" xfId="214"/>
    <cellStyle name="Comma 31" xfId="215"/>
    <cellStyle name="Comma 32" xfId="331"/>
    <cellStyle name="Comma 33" xfId="351"/>
    <cellStyle name="Comma 36" xfId="334"/>
    <cellStyle name="Comma 37" xfId="335"/>
    <cellStyle name="Comma 38" xfId="336"/>
    <cellStyle name="Comma 39" xfId="337"/>
    <cellStyle name="Comma 4" xfId="28"/>
    <cellStyle name="Comma 4 2" xfId="146"/>
    <cellStyle name="Comma 4 2 2" xfId="304"/>
    <cellStyle name="Comma 4 2 2 2" xfId="305"/>
    <cellStyle name="Comma 4 2 2 3" xfId="306"/>
    <cellStyle name="Comma 4 2 3" xfId="307"/>
    <cellStyle name="Comma 4 2 4" xfId="308"/>
    <cellStyle name="Comma 4 3" xfId="147"/>
    <cellStyle name="Comma 4 3 2" xfId="309"/>
    <cellStyle name="Comma 4 3 3" xfId="310"/>
    <cellStyle name="Comma 4 4" xfId="236"/>
    <cellStyle name="Comma 4 5" xfId="311"/>
    <cellStyle name="Comma 40" xfId="338"/>
    <cellStyle name="Comma 41" xfId="340"/>
    <cellStyle name="Comma 42" xfId="339"/>
    <cellStyle name="Comma 43" xfId="341"/>
    <cellStyle name="Comma 44" xfId="342"/>
    <cellStyle name="Comma 46" xfId="343"/>
    <cellStyle name="Comma 48" xfId="344"/>
    <cellStyle name="Comma 49" xfId="345"/>
    <cellStyle name="Comma 5" xfId="29"/>
    <cellStyle name="Comma 5 2" xfId="30"/>
    <cellStyle name="Comma 5 3" xfId="237"/>
    <cellStyle name="Comma 6" xfId="31"/>
    <cellStyle name="Comma 6 2" xfId="148"/>
    <cellStyle name="Comma 6 2 2" xfId="290"/>
    <cellStyle name="Comma 7" xfId="205"/>
    <cellStyle name="Comma 7 2" xfId="238"/>
    <cellStyle name="Comma 8" xfId="206"/>
    <cellStyle name="Comma 9" xfId="96"/>
    <cellStyle name="Comma 9 2" xfId="97"/>
    <cellStyle name="Comma0" xfId="149"/>
    <cellStyle name="Comma0 2" xfId="150"/>
    <cellStyle name="Currency 10" xfId="239"/>
    <cellStyle name="Currency 10 2" xfId="289"/>
    <cellStyle name="Currency 11" xfId="151"/>
    <cellStyle name="Currency 11 2" xfId="152"/>
    <cellStyle name="Currency 12" xfId="292"/>
    <cellStyle name="Currency 12 2" xfId="293"/>
    <cellStyle name="Currency 12 3" xfId="294"/>
    <cellStyle name="Currency 13" xfId="333"/>
    <cellStyle name="Currency 18" xfId="324"/>
    <cellStyle name="Currency 19" xfId="325"/>
    <cellStyle name="Currency 19 2" xfId="326"/>
    <cellStyle name="Currency 2" xfId="8"/>
    <cellStyle name="Currency 2 2" xfId="89"/>
    <cellStyle name="Currency 2 2 2" xfId="153"/>
    <cellStyle name="Currency 2 2 2 2" xfId="154"/>
    <cellStyle name="Currency 2 2 2 3" xfId="155"/>
    <cellStyle name="Currency 2 2 2 4" xfId="156"/>
    <cellStyle name="Currency 2 2 2 5" xfId="157"/>
    <cellStyle name="Currency 2 2 2 6" xfId="158"/>
    <cellStyle name="Currency 2 2 2 7" xfId="159"/>
    <cellStyle name="Currency 2 2 3" xfId="160"/>
    <cellStyle name="Currency 2 2 3 2" xfId="161"/>
    <cellStyle name="Currency 2 2 4" xfId="162"/>
    <cellStyle name="Currency 2 2 4 2" xfId="163"/>
    <cellStyle name="Currency 2 2 5" xfId="164"/>
    <cellStyle name="Currency 2 2 5 2" xfId="165"/>
    <cellStyle name="Currency 2 2 6" xfId="166"/>
    <cellStyle name="Currency 2 2 6 2" xfId="167"/>
    <cellStyle name="Currency 2 2 7" xfId="168"/>
    <cellStyle name="Currency 2 2 7 2" xfId="169"/>
    <cellStyle name="Currency 2 3" xfId="170"/>
    <cellStyle name="Currency 2 4" xfId="171"/>
    <cellStyle name="Currency 2 5" xfId="172"/>
    <cellStyle name="Currency 2 5 2" xfId="173"/>
    <cellStyle name="Currency 2 6" xfId="174"/>
    <cellStyle name="Currency 2 7" xfId="175"/>
    <cellStyle name="Currency 2 8" xfId="176"/>
    <cellStyle name="Currency 20" xfId="327"/>
    <cellStyle name="Currency 3" xfId="34"/>
    <cellStyle name="Currency 3 2" xfId="35"/>
    <cellStyle name="Currency 3 2 2" xfId="240"/>
    <cellStyle name="Currency 3 2 3" xfId="241"/>
    <cellStyle name="Currency 3 3" xfId="108"/>
    <cellStyle name="Currency 3 3 2" xfId="177"/>
    <cellStyle name="Currency 3 4" xfId="109"/>
    <cellStyle name="Currency 3 5" xfId="110"/>
    <cellStyle name="Currency 4" xfId="36"/>
    <cellStyle name="Currency 4 2" xfId="82"/>
    <cellStyle name="Currency 4 2 2" xfId="83"/>
    <cellStyle name="Currency 4 3" xfId="178"/>
    <cellStyle name="Currency 5" xfId="207"/>
    <cellStyle name="Currency 5 2" xfId="242"/>
    <cellStyle name="Currency 5 2 2" xfId="243"/>
    <cellStyle name="Currency 5 3" xfId="244"/>
    <cellStyle name="Currency 6" xfId="208"/>
    <cellStyle name="Currency 6 2" xfId="209"/>
    <cellStyle name="Currency 6 3" xfId="245"/>
    <cellStyle name="Currency 7" xfId="210"/>
    <cellStyle name="Currency 7 2" xfId="246"/>
    <cellStyle name="Currency 8" xfId="247"/>
    <cellStyle name="Currency 8 2" xfId="248"/>
    <cellStyle name="Currency 9" xfId="249"/>
    <cellStyle name="Currency0" xfId="179"/>
    <cellStyle name="Date" xfId="180"/>
    <cellStyle name="Excel Built-in Normal" xfId="250"/>
    <cellStyle name="Explanatory Text 2" xfId="69"/>
    <cellStyle name="F2" xfId="181"/>
    <cellStyle name="F3" xfId="182"/>
    <cellStyle name="F4" xfId="183"/>
    <cellStyle name="F5" xfId="184"/>
    <cellStyle name="F6" xfId="185"/>
    <cellStyle name="F7" xfId="186"/>
    <cellStyle name="F8" xfId="187"/>
    <cellStyle name="Fixed" xfId="188"/>
    <cellStyle name="Good 2" xfId="70"/>
    <cellStyle name="Heading 1 2" xfId="71"/>
    <cellStyle name="Heading 2 2" xfId="72"/>
    <cellStyle name="Heading 3 2" xfId="73"/>
    <cellStyle name="Heading 4 2" xfId="74"/>
    <cellStyle name="Hyperlink" xfId="348" builtinId="8"/>
    <cellStyle name="Hyperlink 2" xfId="98"/>
    <cellStyle name="Hyperlink 3" xfId="111"/>
    <cellStyle name="Hyperlink 4" xfId="328"/>
    <cellStyle name="Hyperlink 5" xfId="350"/>
    <cellStyle name="Input 2" xfId="75"/>
    <cellStyle name="Linked Cell 2" xfId="76"/>
    <cellStyle name="Neutral 2" xfId="77"/>
    <cellStyle name="Normal" xfId="0" builtinId="0"/>
    <cellStyle name="Normal 10" xfId="99"/>
    <cellStyle name="Normal 10 2" xfId="112"/>
    <cellStyle name="Normal 11" xfId="113"/>
    <cellStyle name="Normal 11 2" xfId="212"/>
    <cellStyle name="Normal 12" xfId="90"/>
    <cellStyle name="Normal 12 2" xfId="295"/>
    <cellStyle name="Normal 13" xfId="141"/>
    <cellStyle name="Normal 13 2" xfId="114"/>
    <cellStyle name="Normal 13 2 2" xfId="115"/>
    <cellStyle name="Normal 13 2 3" xfId="116"/>
    <cellStyle name="Normal 14" xfId="332"/>
    <cellStyle name="Normal 14 2" xfId="117"/>
    <cellStyle name="Normal 14 3" xfId="118"/>
    <cellStyle name="Normal 15" xfId="349"/>
    <cellStyle name="Normal 15 2" xfId="119"/>
    <cellStyle name="Normal 19" xfId="27"/>
    <cellStyle name="Normal 2" xfId="2"/>
    <cellStyle name="Normal 2 10" xfId="120"/>
    <cellStyle name="Normal 2 11" xfId="121"/>
    <cellStyle name="Normal 2 12" xfId="122"/>
    <cellStyle name="Normal 2 13" xfId="123"/>
    <cellStyle name="Normal 2 14" xfId="124"/>
    <cellStyle name="Normal 2 15" xfId="125"/>
    <cellStyle name="Normal 2 16" xfId="126"/>
    <cellStyle name="Normal 2 17" xfId="127"/>
    <cellStyle name="Normal 2 18" xfId="128"/>
    <cellStyle name="Normal 2 2" xfId="49"/>
    <cellStyle name="Normal 2 2 2" xfId="87"/>
    <cellStyle name="Normal 2 2 3" xfId="91"/>
    <cellStyle name="Normal 2 3" xfId="88"/>
    <cellStyle name="Normal 2 3 2" xfId="251"/>
    <cellStyle name="Normal 2 4" xfId="100"/>
    <cellStyle name="Normal 2 5" xfId="101"/>
    <cellStyle name="Normal 2 5 2" xfId="189"/>
    <cellStyle name="Normal 2 6" xfId="102"/>
    <cellStyle name="Normal 2 6 2" xfId="330"/>
    <cellStyle name="Normal 2 7" xfId="129"/>
    <cellStyle name="Normal 2 8" xfId="130"/>
    <cellStyle name="Normal 2 9" xfId="131"/>
    <cellStyle name="Normal 29" xfId="132"/>
    <cellStyle name="Normal 3" xfId="4"/>
    <cellStyle name="Normal 3 2" xfId="84"/>
    <cellStyle name="Normal 3 2 2" xfId="190"/>
    <cellStyle name="Normal 3 2 3" xfId="285"/>
    <cellStyle name="Normal 3 2 4" xfId="286"/>
    <cellStyle name="Normal 3 3" xfId="103"/>
    <cellStyle name="Normal 3 3 2" xfId="191"/>
    <cellStyle name="Normal 3 3 2 2" xfId="252"/>
    <cellStyle name="Normal 3 3 3" xfId="253"/>
    <cellStyle name="Normal 3 3 4" xfId="254"/>
    <cellStyle name="Normal 3 4" xfId="192"/>
    <cellStyle name="Normal 3 4 2" xfId="255"/>
    <cellStyle name="Normal 3 5" xfId="193"/>
    <cellStyle name="Normal 4" xfId="85"/>
    <cellStyle name="Normal 4 2" xfId="104"/>
    <cellStyle name="Normal 4 2 2" xfId="256"/>
    <cellStyle name="Normal 4 2 2 2" xfId="312"/>
    <cellStyle name="Normal 4 2 2 3" xfId="313"/>
    <cellStyle name="Normal 4 2 3" xfId="314"/>
    <cellStyle name="Normal 4 2 4" xfId="315"/>
    <cellStyle name="Normal 4 3" xfId="257"/>
    <cellStyle name="Normal 4 3 2" xfId="258"/>
    <cellStyle name="Normal 4 3 3" xfId="316"/>
    <cellStyle name="Normal 4 4" xfId="259"/>
    <cellStyle name="Normal 4 5" xfId="317"/>
    <cellStyle name="Normal 5" xfId="133"/>
    <cellStyle name="Normal 5 2" xfId="105"/>
    <cellStyle name="Normal 5 2 2" xfId="260"/>
    <cellStyle name="Normal 5 2 2 2" xfId="261"/>
    <cellStyle name="Normal 5 2 2 3" xfId="318"/>
    <cellStyle name="Normal 5 2 3" xfId="319"/>
    <cellStyle name="Normal 5 2 4" xfId="320"/>
    <cellStyle name="Normal 5 3" xfId="262"/>
    <cellStyle name="Normal 5 3 2" xfId="263"/>
    <cellStyle name="Normal 5 3 3" xfId="321"/>
    <cellStyle name="Normal 5 4" xfId="264"/>
    <cellStyle name="Normal 5 5" xfId="288"/>
    <cellStyle name="Normal 6" xfId="134"/>
    <cellStyle name="Normal 6 2" xfId="106"/>
    <cellStyle name="Normal 6 2 2" xfId="265"/>
    <cellStyle name="Normal 6 3" xfId="194"/>
    <cellStyle name="Normal 6 4" xfId="266"/>
    <cellStyle name="Normal 7" xfId="135"/>
    <cellStyle name="Normal 7 2" xfId="136"/>
    <cellStyle name="Normal 7 2 2" xfId="267"/>
    <cellStyle name="Normal 8" xfId="137"/>
    <cellStyle name="Normal 8 2" xfId="268"/>
    <cellStyle name="Normal 9" xfId="138"/>
    <cellStyle name="Normal 9 2" xfId="139"/>
    <cellStyle name="Normal_MODEL" xfId="353"/>
    <cellStyle name="Normal_MODEL 10" xfId="355"/>
    <cellStyle name="Normal_MODEL 10 2" xfId="363"/>
    <cellStyle name="Normal_MODEL 11" xfId="365"/>
    <cellStyle name="Normal_MODEL 2" xfId="354"/>
    <cellStyle name="Normal_MODEL 2 10" xfId="367"/>
    <cellStyle name="Normal_MODEL 2 2" xfId="356"/>
    <cellStyle name="Normal_MODEL 2 2 2" xfId="371"/>
    <cellStyle name="Normal_MODEL 2 3" xfId="357"/>
    <cellStyle name="Normal_MODEL 2 6" xfId="366"/>
    <cellStyle name="Normal_MODEL 3" xfId="360"/>
    <cellStyle name="Normal_MODEL 3 2" xfId="361"/>
    <cellStyle name="Normal_MODEL 3 2 2" xfId="362"/>
    <cellStyle name="Normal_MODEL 4 2" xfId="358"/>
    <cellStyle name="Normal_MODEL 5" xfId="359"/>
    <cellStyle name="Normal_MODEL 5 2" xfId="368"/>
    <cellStyle name="Normal_MODEL 6" xfId="369"/>
    <cellStyle name="Normal_MODEL 7" xfId="364"/>
    <cellStyle name="Normal_MODEL 8" xfId="370"/>
    <cellStyle name="Note 2" xfId="48"/>
    <cellStyle name="Note 2 2" xfId="269"/>
    <cellStyle name="Note 3" xfId="270"/>
    <cellStyle name="Output 2" xfId="78"/>
    <cellStyle name="Percent 10" xfId="346"/>
    <cellStyle name="Percent 11" xfId="195"/>
    <cellStyle name="Percent 11 2" xfId="196"/>
    <cellStyle name="Percent 12" xfId="352"/>
    <cellStyle name="Percent 2" xfId="5"/>
    <cellStyle name="Percent 2 2" xfId="6"/>
    <cellStyle name="Percent 2 2 2" xfId="86"/>
    <cellStyle name="Percent 2 3" xfId="197"/>
    <cellStyle name="Percent 2 3 2" xfId="198"/>
    <cellStyle name="Percent 2 4" xfId="199"/>
    <cellStyle name="Percent 2 5" xfId="200"/>
    <cellStyle name="Percent 2 6" xfId="201"/>
    <cellStyle name="Percent 3" xfId="7"/>
    <cellStyle name="Percent 3 2" xfId="32"/>
    <cellStyle name="Percent 3 2 2" xfId="202"/>
    <cellStyle name="Percent 3 2 2 2" xfId="271"/>
    <cellStyle name="Percent 3 2 3" xfId="272"/>
    <cellStyle name="Percent 3 3" xfId="203"/>
    <cellStyle name="Percent 3 3 2" xfId="273"/>
    <cellStyle name="Percent 3 4" xfId="274"/>
    <cellStyle name="Percent 4" xfId="33"/>
    <cellStyle name="Percent 4 2" xfId="39"/>
    <cellStyle name="Percent 4 2 2" xfId="275"/>
    <cellStyle name="Percent 4 3" xfId="276"/>
    <cellStyle name="Percent 5" xfId="140"/>
    <cellStyle name="Percent 5 2" xfId="277"/>
    <cellStyle name="Percent 6" xfId="278"/>
    <cellStyle name="Percent 6 2" xfId="279"/>
    <cellStyle name="Percent 7" xfId="280"/>
    <cellStyle name="Percent 8" xfId="281"/>
    <cellStyle name="Percent 9" xfId="282"/>
    <cellStyle name="style4" xfId="287"/>
    <cellStyle name="Title 2" xfId="79"/>
    <cellStyle name="Total 2" xfId="80"/>
    <cellStyle name="Total2 - Style2" xfId="204"/>
    <cellStyle name="Warning Text 2" xfId="81"/>
  </cellStyles>
  <dxfs count="15">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numFmt numFmtId="0" formatCode="Genera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styles" Target="styles.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alcChain" Target="calcChain.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tables/table1.xml><?xml version="1.0" encoding="utf-8"?>
<table xmlns="http://schemas.openxmlformats.org/spreadsheetml/2006/main" id="1" name="Table1" displayName="Table1" ref="A1:D105" totalsRowShown="0">
  <autoFilter ref="A1:D105"/>
  <sortState ref="A2:D105">
    <sortCondition ref="A2"/>
  </sortState>
  <tableColumns count="4">
    <tableColumn id="1" name="Key"/>
    <tableColumn id="6" name="Description" dataDxfId="14"/>
    <tableColumn id="3" name="Department"/>
    <tableColumn id="5" name="Fun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05"/>
  <sheetViews>
    <sheetView showGridLines="0" tabSelected="1" workbookViewId="0">
      <pane xSplit="2" ySplit="1" topLeftCell="C2" activePane="bottomRight" state="frozen"/>
      <selection pane="topRight" activeCell="C1" sqref="C1"/>
      <selection pane="bottomLeft" activeCell="A2" sqref="A2"/>
      <selection pane="bottomRight" activeCell="C2" sqref="C2"/>
    </sheetView>
  </sheetViews>
  <sheetFormatPr defaultRowHeight="15" x14ac:dyDescent="0.25"/>
  <cols>
    <col min="1" max="1" width="11.140625" customWidth="1"/>
    <col min="2" max="2" width="52.5703125" bestFit="1" customWidth="1"/>
    <col min="3" max="3" width="32.5703125" bestFit="1" customWidth="1"/>
    <col min="4" max="4" width="15.5703125" bestFit="1" customWidth="1"/>
  </cols>
  <sheetData>
    <row r="1" spans="1:4" x14ac:dyDescent="0.25">
      <c r="A1" t="s">
        <v>170</v>
      </c>
      <c r="B1" t="s">
        <v>169</v>
      </c>
      <c r="C1" t="s">
        <v>168</v>
      </c>
      <c r="D1" t="s">
        <v>3070</v>
      </c>
    </row>
    <row r="2" spans="1:4" x14ac:dyDescent="0.25">
      <c r="A2" s="1605" t="s">
        <v>3029</v>
      </c>
      <c r="B2" s="1606" t="s">
        <v>185</v>
      </c>
      <c r="C2" t="s">
        <v>179</v>
      </c>
    </row>
    <row r="3" spans="1:4" x14ac:dyDescent="0.25">
      <c r="A3" s="1606" t="s">
        <v>3030</v>
      </c>
      <c r="B3" s="1606" t="s">
        <v>203</v>
      </c>
      <c r="C3" t="s">
        <v>179</v>
      </c>
    </row>
    <row r="4" spans="1:4" x14ac:dyDescent="0.25">
      <c r="A4" s="1606" t="s">
        <v>3031</v>
      </c>
      <c r="B4" s="1606" t="s">
        <v>206</v>
      </c>
      <c r="C4" t="s">
        <v>179</v>
      </c>
    </row>
    <row r="5" spans="1:4" x14ac:dyDescent="0.25">
      <c r="A5" s="1607" t="s">
        <v>3032</v>
      </c>
      <c r="B5" s="1608" t="s">
        <v>210</v>
      </c>
      <c r="C5" t="s">
        <v>179</v>
      </c>
    </row>
    <row r="6" spans="1:4" x14ac:dyDescent="0.25">
      <c r="A6" s="1605" t="s">
        <v>3033</v>
      </c>
      <c r="B6" s="1608" t="s">
        <v>1</v>
      </c>
      <c r="C6" t="s">
        <v>215</v>
      </c>
    </row>
    <row r="7" spans="1:4" x14ac:dyDescent="0.25">
      <c r="A7" s="1605" t="s">
        <v>167</v>
      </c>
      <c r="B7" s="1608" t="s">
        <v>2</v>
      </c>
      <c r="C7" t="s">
        <v>3071</v>
      </c>
    </row>
    <row r="8" spans="1:4" x14ac:dyDescent="0.25">
      <c r="A8" s="1605" t="s">
        <v>166</v>
      </c>
      <c r="B8" s="1608" t="s">
        <v>3</v>
      </c>
      <c r="C8" t="s">
        <v>3079</v>
      </c>
    </row>
    <row r="9" spans="1:4" x14ac:dyDescent="0.25">
      <c r="A9" s="1605" t="s">
        <v>165</v>
      </c>
      <c r="B9" s="1608" t="s">
        <v>4</v>
      </c>
      <c r="C9" t="s">
        <v>3078</v>
      </c>
    </row>
    <row r="10" spans="1:4" x14ac:dyDescent="0.25">
      <c r="A10" s="1605" t="s">
        <v>164</v>
      </c>
      <c r="B10" s="1608" t="s">
        <v>5</v>
      </c>
      <c r="C10" t="s">
        <v>3072</v>
      </c>
    </row>
    <row r="11" spans="1:4" x14ac:dyDescent="0.25">
      <c r="A11" s="1605" t="s">
        <v>163</v>
      </c>
      <c r="B11" s="1608" t="s">
        <v>4</v>
      </c>
      <c r="C11" t="s">
        <v>3072</v>
      </c>
    </row>
    <row r="12" spans="1:4" x14ac:dyDescent="0.25">
      <c r="A12" s="1605" t="s">
        <v>162</v>
      </c>
      <c r="B12" s="1608" t="s">
        <v>6</v>
      </c>
      <c r="C12" t="s">
        <v>3072</v>
      </c>
    </row>
    <row r="13" spans="1:4" x14ac:dyDescent="0.25">
      <c r="A13" s="1605" t="s">
        <v>161</v>
      </c>
      <c r="B13" s="1608" t="s">
        <v>1</v>
      </c>
      <c r="C13" t="s">
        <v>3072</v>
      </c>
    </row>
    <row r="14" spans="1:4" x14ac:dyDescent="0.25">
      <c r="A14" s="1605" t="s">
        <v>160</v>
      </c>
      <c r="B14" s="1608" t="s">
        <v>7</v>
      </c>
      <c r="C14" t="s">
        <v>3073</v>
      </c>
    </row>
    <row r="15" spans="1:4" x14ac:dyDescent="0.25">
      <c r="A15" s="1605" t="s">
        <v>159</v>
      </c>
      <c r="B15" s="1608" t="s">
        <v>78</v>
      </c>
      <c r="C15" t="s">
        <v>3073</v>
      </c>
      <c r="D15" t="s">
        <v>77</v>
      </c>
    </row>
    <row r="16" spans="1:4" x14ac:dyDescent="0.25">
      <c r="A16" s="1605" t="s">
        <v>158</v>
      </c>
      <c r="B16" s="1608" t="s">
        <v>8</v>
      </c>
      <c r="C16" t="s">
        <v>3073</v>
      </c>
    </row>
    <row r="17" spans="1:4" x14ac:dyDescent="0.25">
      <c r="A17" s="1605" t="s">
        <v>157</v>
      </c>
      <c r="B17" s="1608" t="s">
        <v>79</v>
      </c>
      <c r="C17" t="s">
        <v>3073</v>
      </c>
      <c r="D17" t="s">
        <v>77</v>
      </c>
    </row>
    <row r="18" spans="1:4" x14ac:dyDescent="0.25">
      <c r="A18" s="1605" t="s">
        <v>156</v>
      </c>
      <c r="B18" s="1608" t="s">
        <v>9</v>
      </c>
      <c r="C18" t="s">
        <v>3073</v>
      </c>
    </row>
    <row r="19" spans="1:4" x14ac:dyDescent="0.25">
      <c r="A19" s="1605" t="s">
        <v>3034</v>
      </c>
      <c r="B19" s="1608" t="s">
        <v>604</v>
      </c>
      <c r="C19" t="s">
        <v>3073</v>
      </c>
    </row>
    <row r="20" spans="1:4" x14ac:dyDescent="0.25">
      <c r="A20" s="1605" t="s">
        <v>155</v>
      </c>
      <c r="B20" s="1608" t="s">
        <v>11</v>
      </c>
      <c r="C20" t="s">
        <v>3074</v>
      </c>
    </row>
    <row r="21" spans="1:4" x14ac:dyDescent="0.25">
      <c r="A21" s="1605" t="s">
        <v>154</v>
      </c>
      <c r="B21" s="1608" t="s">
        <v>12</v>
      </c>
      <c r="C21" t="s">
        <v>3074</v>
      </c>
    </row>
    <row r="22" spans="1:4" x14ac:dyDescent="0.25">
      <c r="A22" s="1605" t="s">
        <v>153</v>
      </c>
      <c r="B22" s="1608" t="s">
        <v>13</v>
      </c>
      <c r="C22" t="s">
        <v>3074</v>
      </c>
    </row>
    <row r="23" spans="1:4" x14ac:dyDescent="0.25">
      <c r="A23" s="1605" t="s">
        <v>15</v>
      </c>
      <c r="B23" s="1608" t="s">
        <v>14</v>
      </c>
      <c r="C23" t="s">
        <v>3074</v>
      </c>
    </row>
    <row r="24" spans="1:4" x14ac:dyDescent="0.25">
      <c r="A24" s="1605" t="s">
        <v>152</v>
      </c>
      <c r="B24" s="1608" t="s">
        <v>16</v>
      </c>
      <c r="C24" t="s">
        <v>3074</v>
      </c>
    </row>
    <row r="25" spans="1:4" x14ac:dyDescent="0.25">
      <c r="A25" s="1605" t="s">
        <v>151</v>
      </c>
      <c r="B25" s="1608" t="s">
        <v>17</v>
      </c>
      <c r="C25" t="s">
        <v>3075</v>
      </c>
    </row>
    <row r="26" spans="1:4" x14ac:dyDescent="0.25">
      <c r="A26" s="1605" t="s">
        <v>150</v>
      </c>
      <c r="B26" s="1608" t="s">
        <v>18</v>
      </c>
      <c r="C26" t="s">
        <v>3075</v>
      </c>
    </row>
    <row r="27" spans="1:4" x14ac:dyDescent="0.25">
      <c r="A27" s="1605" t="s">
        <v>149</v>
      </c>
      <c r="B27" s="1608" t="s">
        <v>19</v>
      </c>
      <c r="C27" t="s">
        <v>3075</v>
      </c>
    </row>
    <row r="28" spans="1:4" x14ac:dyDescent="0.25">
      <c r="A28" s="1605" t="s">
        <v>148</v>
      </c>
      <c r="B28" s="1608" t="s">
        <v>20</v>
      </c>
      <c r="C28" t="s">
        <v>3075</v>
      </c>
    </row>
    <row r="29" spans="1:4" x14ac:dyDescent="0.25">
      <c r="A29" s="1605" t="s">
        <v>147</v>
      </c>
      <c r="B29" s="1608" t="s">
        <v>21</v>
      </c>
      <c r="C29" t="s">
        <v>3075</v>
      </c>
    </row>
    <row r="30" spans="1:4" x14ac:dyDescent="0.25">
      <c r="A30" s="1605" t="s">
        <v>146</v>
      </c>
      <c r="B30" s="1608" t="s">
        <v>22</v>
      </c>
      <c r="C30" t="s">
        <v>3075</v>
      </c>
    </row>
    <row r="31" spans="1:4" x14ac:dyDescent="0.25">
      <c r="A31" s="1605" t="s">
        <v>145</v>
      </c>
      <c r="B31" s="1608" t="s">
        <v>23</v>
      </c>
      <c r="C31" t="s">
        <v>321</v>
      </c>
    </row>
    <row r="32" spans="1:4" x14ac:dyDescent="0.25">
      <c r="A32" s="1605" t="s">
        <v>3043</v>
      </c>
      <c r="B32" s="1608" t="s">
        <v>3008</v>
      </c>
      <c r="C32" t="s">
        <v>321</v>
      </c>
      <c r="D32" t="s">
        <v>77</v>
      </c>
    </row>
    <row r="33" spans="1:3" x14ac:dyDescent="0.25">
      <c r="A33" s="1605" t="s">
        <v>144</v>
      </c>
      <c r="B33" s="1608" t="s">
        <v>24</v>
      </c>
      <c r="C33" t="s">
        <v>321</v>
      </c>
    </row>
    <row r="34" spans="1:3" x14ac:dyDescent="0.25">
      <c r="A34" s="1605" t="s">
        <v>172</v>
      </c>
      <c r="B34" s="1608" t="s">
        <v>25</v>
      </c>
      <c r="C34" t="s">
        <v>321</v>
      </c>
    </row>
    <row r="35" spans="1:3" x14ac:dyDescent="0.25">
      <c r="A35" s="1605" t="s">
        <v>173</v>
      </c>
      <c r="B35" s="1608" t="s">
        <v>26</v>
      </c>
      <c r="C35" t="s">
        <v>321</v>
      </c>
    </row>
    <row r="36" spans="1:3" x14ac:dyDescent="0.25">
      <c r="A36" s="1605" t="s">
        <v>3035</v>
      </c>
      <c r="B36" s="1608" t="s">
        <v>1059</v>
      </c>
      <c r="C36" t="s">
        <v>321</v>
      </c>
    </row>
    <row r="37" spans="1:3" x14ac:dyDescent="0.25">
      <c r="A37" s="1605" t="s">
        <v>143</v>
      </c>
      <c r="B37" s="1608" t="s">
        <v>27</v>
      </c>
      <c r="C37" t="s">
        <v>3076</v>
      </c>
    </row>
    <row r="38" spans="1:3" x14ac:dyDescent="0.25">
      <c r="A38" s="1605" t="s">
        <v>142</v>
      </c>
      <c r="B38" s="1608" t="s">
        <v>28</v>
      </c>
      <c r="C38" t="s">
        <v>3076</v>
      </c>
    </row>
    <row r="39" spans="1:3" x14ac:dyDescent="0.25">
      <c r="A39" s="1605" t="s">
        <v>141</v>
      </c>
      <c r="B39" s="1608" t="s">
        <v>29</v>
      </c>
      <c r="C39" t="s">
        <v>3076</v>
      </c>
    </row>
    <row r="40" spans="1:3" x14ac:dyDescent="0.25">
      <c r="A40" s="1605" t="s">
        <v>140</v>
      </c>
      <c r="B40" s="1608" t="s">
        <v>12</v>
      </c>
      <c r="C40" t="s">
        <v>3076</v>
      </c>
    </row>
    <row r="41" spans="1:3" x14ac:dyDescent="0.25">
      <c r="A41" s="1605" t="s">
        <v>139</v>
      </c>
      <c r="B41" s="1608" t="s">
        <v>30</v>
      </c>
      <c r="C41" t="s">
        <v>3076</v>
      </c>
    </row>
    <row r="42" spans="1:3" x14ac:dyDescent="0.25">
      <c r="A42" s="1605" t="s">
        <v>138</v>
      </c>
      <c r="B42" s="1608" t="s">
        <v>31</v>
      </c>
      <c r="C42" t="s">
        <v>3076</v>
      </c>
    </row>
    <row r="43" spans="1:3" x14ac:dyDescent="0.25">
      <c r="A43" s="1605" t="s">
        <v>137</v>
      </c>
      <c r="B43" s="1608" t="s">
        <v>33</v>
      </c>
      <c r="C43" t="s">
        <v>3076</v>
      </c>
    </row>
    <row r="44" spans="1:3" x14ac:dyDescent="0.25">
      <c r="A44" s="1605" t="s">
        <v>136</v>
      </c>
      <c r="B44" s="1608" t="s">
        <v>34</v>
      </c>
      <c r="C44" t="s">
        <v>3076</v>
      </c>
    </row>
    <row r="45" spans="1:3" x14ac:dyDescent="0.25">
      <c r="A45" s="1605" t="s">
        <v>3036</v>
      </c>
      <c r="B45" s="1608" t="s">
        <v>1366</v>
      </c>
      <c r="C45" t="s">
        <v>3076</v>
      </c>
    </row>
    <row r="46" spans="1:3" x14ac:dyDescent="0.25">
      <c r="A46" s="1605" t="s">
        <v>3037</v>
      </c>
      <c r="B46" s="1608" t="s">
        <v>1372</v>
      </c>
      <c r="C46" t="s">
        <v>3080</v>
      </c>
    </row>
    <row r="47" spans="1:3" x14ac:dyDescent="0.25">
      <c r="A47" s="1605" t="s">
        <v>135</v>
      </c>
      <c r="B47" s="1608" t="s">
        <v>32</v>
      </c>
      <c r="C47" t="s">
        <v>3080</v>
      </c>
    </row>
    <row r="48" spans="1:3" x14ac:dyDescent="0.25">
      <c r="A48" s="1605" t="s">
        <v>134</v>
      </c>
      <c r="B48" s="1608" t="s">
        <v>35</v>
      </c>
      <c r="C48" t="s">
        <v>3080</v>
      </c>
    </row>
    <row r="49" spans="1:3" x14ac:dyDescent="0.25">
      <c r="A49" s="1605" t="s">
        <v>133</v>
      </c>
      <c r="B49" s="1608" t="s">
        <v>36</v>
      </c>
      <c r="C49" t="s">
        <v>3080</v>
      </c>
    </row>
    <row r="50" spans="1:3" x14ac:dyDescent="0.25">
      <c r="A50" s="1605" t="s">
        <v>132</v>
      </c>
      <c r="B50" s="1608" t="s">
        <v>37</v>
      </c>
      <c r="C50" t="s">
        <v>3081</v>
      </c>
    </row>
    <row r="51" spans="1:3" x14ac:dyDescent="0.25">
      <c r="A51" s="1605" t="s">
        <v>131</v>
      </c>
      <c r="B51" s="1608" t="s">
        <v>38</v>
      </c>
      <c r="C51" t="s">
        <v>3081</v>
      </c>
    </row>
    <row r="52" spans="1:3" x14ac:dyDescent="0.25">
      <c r="A52" s="1605" t="s">
        <v>130</v>
      </c>
      <c r="B52" s="1608" t="s">
        <v>39</v>
      </c>
      <c r="C52" t="s">
        <v>3081</v>
      </c>
    </row>
    <row r="53" spans="1:3" x14ac:dyDescent="0.25">
      <c r="A53" s="1605" t="s">
        <v>3038</v>
      </c>
      <c r="B53" s="1608" t="s">
        <v>604</v>
      </c>
      <c r="C53" t="s">
        <v>3081</v>
      </c>
    </row>
    <row r="54" spans="1:3" x14ac:dyDescent="0.25">
      <c r="A54" s="1605" t="s">
        <v>129</v>
      </c>
      <c r="B54" s="1608" t="s">
        <v>36</v>
      </c>
      <c r="C54" t="s">
        <v>3081</v>
      </c>
    </row>
    <row r="55" spans="1:3" x14ac:dyDescent="0.25">
      <c r="A55" s="1605" t="s">
        <v>128</v>
      </c>
      <c r="B55" s="1608" t="s">
        <v>40</v>
      </c>
      <c r="C55" t="s">
        <v>3081</v>
      </c>
    </row>
    <row r="56" spans="1:3" x14ac:dyDescent="0.25">
      <c r="A56" s="1605" t="s">
        <v>127</v>
      </c>
      <c r="B56" s="1608" t="s">
        <v>41</v>
      </c>
      <c r="C56" t="s">
        <v>3082</v>
      </c>
    </row>
    <row r="57" spans="1:3" x14ac:dyDescent="0.25">
      <c r="A57" s="1605" t="s">
        <v>126</v>
      </c>
      <c r="B57" s="1608" t="s">
        <v>42</v>
      </c>
      <c r="C57" t="s">
        <v>3082</v>
      </c>
    </row>
    <row r="58" spans="1:3" x14ac:dyDescent="0.25">
      <c r="A58" s="1605" t="s">
        <v>125</v>
      </c>
      <c r="B58" s="1608" t="s">
        <v>43</v>
      </c>
      <c r="C58" t="s">
        <v>3082</v>
      </c>
    </row>
    <row r="59" spans="1:3" x14ac:dyDescent="0.25">
      <c r="A59" s="1605" t="s">
        <v>124</v>
      </c>
      <c r="B59" s="1608" t="s">
        <v>44</v>
      </c>
      <c r="C59" t="s">
        <v>3082</v>
      </c>
    </row>
    <row r="60" spans="1:3" x14ac:dyDescent="0.25">
      <c r="A60" s="1605" t="s">
        <v>123</v>
      </c>
      <c r="B60" s="1608" t="s">
        <v>45</v>
      </c>
      <c r="C60" t="s">
        <v>3082</v>
      </c>
    </row>
    <row r="61" spans="1:3" x14ac:dyDescent="0.25">
      <c r="A61" s="1605" t="s">
        <v>119</v>
      </c>
      <c r="B61" s="1608" t="s">
        <v>46</v>
      </c>
      <c r="C61" t="s">
        <v>10</v>
      </c>
    </row>
    <row r="62" spans="1:3" x14ac:dyDescent="0.25">
      <c r="A62" s="1605" t="s">
        <v>118</v>
      </c>
      <c r="B62" s="1608" t="s">
        <v>47</v>
      </c>
      <c r="C62" t="s">
        <v>10</v>
      </c>
    </row>
    <row r="63" spans="1:3" x14ac:dyDescent="0.25">
      <c r="A63" s="1605" t="s">
        <v>117</v>
      </c>
      <c r="B63" s="1608" t="s">
        <v>48</v>
      </c>
      <c r="C63" t="s">
        <v>10</v>
      </c>
    </row>
    <row r="64" spans="1:3" x14ac:dyDescent="0.25">
      <c r="A64" s="1605" t="s">
        <v>116</v>
      </c>
      <c r="B64" s="1608" t="s">
        <v>49</v>
      </c>
      <c r="C64" t="s">
        <v>10</v>
      </c>
    </row>
    <row r="65" spans="1:3" x14ac:dyDescent="0.25">
      <c r="A65" s="1605" t="s">
        <v>115</v>
      </c>
      <c r="B65" s="1608" t="s">
        <v>50</v>
      </c>
      <c r="C65" t="s">
        <v>10</v>
      </c>
    </row>
    <row r="66" spans="1:3" x14ac:dyDescent="0.25">
      <c r="A66" s="1605" t="s">
        <v>114</v>
      </c>
      <c r="B66" s="1608" t="s">
        <v>51</v>
      </c>
      <c r="C66" t="s">
        <v>10</v>
      </c>
    </row>
    <row r="67" spans="1:3" x14ac:dyDescent="0.25">
      <c r="A67" s="1605" t="s">
        <v>113</v>
      </c>
      <c r="B67" s="1608" t="s">
        <v>53</v>
      </c>
      <c r="C67" t="s">
        <v>10</v>
      </c>
    </row>
    <row r="68" spans="1:3" x14ac:dyDescent="0.25">
      <c r="A68" s="1605" t="s">
        <v>112</v>
      </c>
      <c r="B68" s="1608" t="s">
        <v>54</v>
      </c>
      <c r="C68" t="s">
        <v>10</v>
      </c>
    </row>
    <row r="69" spans="1:3" x14ac:dyDescent="0.25">
      <c r="A69" s="1605" t="s">
        <v>111</v>
      </c>
      <c r="B69" s="1608" t="s">
        <v>55</v>
      </c>
      <c r="C69" t="s">
        <v>10</v>
      </c>
    </row>
    <row r="70" spans="1:3" x14ac:dyDescent="0.25">
      <c r="A70" s="1605" t="s">
        <v>110</v>
      </c>
      <c r="B70" s="1608" t="s">
        <v>56</v>
      </c>
      <c r="C70" t="s">
        <v>10</v>
      </c>
    </row>
    <row r="71" spans="1:3" x14ac:dyDescent="0.25">
      <c r="A71" s="1605" t="s">
        <v>109</v>
      </c>
      <c r="B71" s="1608" t="s">
        <v>57</v>
      </c>
      <c r="C71" t="s">
        <v>10</v>
      </c>
    </row>
    <row r="72" spans="1:3" x14ac:dyDescent="0.25">
      <c r="A72" s="1605" t="s">
        <v>108</v>
      </c>
      <c r="B72" s="1608" t="s">
        <v>58</v>
      </c>
      <c r="C72" t="s">
        <v>10</v>
      </c>
    </row>
    <row r="73" spans="1:3" x14ac:dyDescent="0.25">
      <c r="A73" s="1605" t="s">
        <v>107</v>
      </c>
      <c r="B73" s="1608" t="s">
        <v>106</v>
      </c>
      <c r="C73" t="s">
        <v>10</v>
      </c>
    </row>
    <row r="74" spans="1:3" x14ac:dyDescent="0.25">
      <c r="A74" s="1605" t="s">
        <v>105</v>
      </c>
      <c r="B74" s="1608" t="s">
        <v>59</v>
      </c>
      <c r="C74" t="s">
        <v>10</v>
      </c>
    </row>
    <row r="75" spans="1:3" x14ac:dyDescent="0.25">
      <c r="A75" s="1605" t="s">
        <v>104</v>
      </c>
      <c r="B75" s="1608" t="s">
        <v>60</v>
      </c>
      <c r="C75" t="s">
        <v>10</v>
      </c>
    </row>
    <row r="76" spans="1:3" x14ac:dyDescent="0.25">
      <c r="A76" s="1605" t="s">
        <v>103</v>
      </c>
      <c r="B76" s="1608" t="s">
        <v>61</v>
      </c>
      <c r="C76" t="s">
        <v>10</v>
      </c>
    </row>
    <row r="77" spans="1:3" x14ac:dyDescent="0.25">
      <c r="A77" s="1605" t="s">
        <v>102</v>
      </c>
      <c r="B77" s="1608" t="s">
        <v>52</v>
      </c>
      <c r="C77" t="s">
        <v>10</v>
      </c>
    </row>
    <row r="78" spans="1:3" x14ac:dyDescent="0.25">
      <c r="A78" s="1605" t="s">
        <v>122</v>
      </c>
      <c r="B78" s="1608" t="s">
        <v>62</v>
      </c>
      <c r="C78" t="s">
        <v>10</v>
      </c>
    </row>
    <row r="79" spans="1:3" x14ac:dyDescent="0.25">
      <c r="A79" s="1605" t="s">
        <v>121</v>
      </c>
      <c r="B79" s="1608" t="s">
        <v>63</v>
      </c>
      <c r="C79" t="s">
        <v>10</v>
      </c>
    </row>
    <row r="80" spans="1:3" x14ac:dyDescent="0.25">
      <c r="A80" s="1605" t="s">
        <v>120</v>
      </c>
      <c r="B80" s="1608" t="s">
        <v>36</v>
      </c>
      <c r="C80" t="s">
        <v>10</v>
      </c>
    </row>
    <row r="81" spans="1:4" x14ac:dyDescent="0.25">
      <c r="A81" s="1605" t="s">
        <v>101</v>
      </c>
      <c r="B81" s="1608" t="s">
        <v>64</v>
      </c>
      <c r="C81" t="s">
        <v>98</v>
      </c>
    </row>
    <row r="82" spans="1:4" x14ac:dyDescent="0.25">
      <c r="A82" s="1605" t="s">
        <v>100</v>
      </c>
      <c r="B82" s="1608" t="s">
        <v>65</v>
      </c>
      <c r="C82" t="s">
        <v>98</v>
      </c>
    </row>
    <row r="83" spans="1:4" x14ac:dyDescent="0.25">
      <c r="A83" s="1605" t="s">
        <v>99</v>
      </c>
      <c r="B83" s="1608" t="s">
        <v>66</v>
      </c>
      <c r="C83" t="s">
        <v>98</v>
      </c>
    </row>
    <row r="84" spans="1:4" x14ac:dyDescent="0.25">
      <c r="A84" s="1605" t="s">
        <v>3039</v>
      </c>
      <c r="B84" s="1608" t="s">
        <v>2439</v>
      </c>
      <c r="C84" t="s">
        <v>98</v>
      </c>
    </row>
    <row r="85" spans="1:4" x14ac:dyDescent="0.25">
      <c r="A85" s="1605" t="s">
        <v>97</v>
      </c>
      <c r="B85" s="1608" t="s">
        <v>3</v>
      </c>
      <c r="C85" t="s">
        <v>3077</v>
      </c>
    </row>
    <row r="86" spans="1:4" x14ac:dyDescent="0.25">
      <c r="A86" s="1605" t="s">
        <v>96</v>
      </c>
      <c r="B86" s="1608" t="s">
        <v>67</v>
      </c>
      <c r="C86" t="s">
        <v>3077</v>
      </c>
    </row>
    <row r="87" spans="1:4" x14ac:dyDescent="0.25">
      <c r="A87" s="1605" t="s">
        <v>3040</v>
      </c>
      <c r="B87" s="1608" t="s">
        <v>2507</v>
      </c>
      <c r="C87" t="s">
        <v>3077</v>
      </c>
    </row>
    <row r="88" spans="1:4" x14ac:dyDescent="0.25">
      <c r="A88" s="1605" t="s">
        <v>95</v>
      </c>
      <c r="B88" s="1608" t="s">
        <v>68</v>
      </c>
      <c r="C88" t="s">
        <v>3077</v>
      </c>
    </row>
    <row r="89" spans="1:4" x14ac:dyDescent="0.25">
      <c r="A89" s="1605" t="s">
        <v>94</v>
      </c>
      <c r="B89" s="1608" t="s">
        <v>36</v>
      </c>
      <c r="C89" t="s">
        <v>3077</v>
      </c>
    </row>
    <row r="90" spans="1:4" x14ac:dyDescent="0.25">
      <c r="A90" s="1605" t="s">
        <v>3044</v>
      </c>
      <c r="B90" s="1608" t="s">
        <v>3010</v>
      </c>
      <c r="C90" t="s">
        <v>3077</v>
      </c>
      <c r="D90" t="s">
        <v>77</v>
      </c>
    </row>
    <row r="91" spans="1:4" x14ac:dyDescent="0.25">
      <c r="A91" s="1605" t="s">
        <v>93</v>
      </c>
      <c r="B91" s="1608" t="s">
        <v>69</v>
      </c>
      <c r="C91" t="s">
        <v>3077</v>
      </c>
    </row>
    <row r="92" spans="1:4" x14ac:dyDescent="0.25">
      <c r="A92" s="1605" t="s">
        <v>92</v>
      </c>
      <c r="B92" s="1608" t="s">
        <v>70</v>
      </c>
      <c r="C92" t="s">
        <v>3077</v>
      </c>
    </row>
    <row r="93" spans="1:4" x14ac:dyDescent="0.25">
      <c r="A93" s="1605" t="s">
        <v>91</v>
      </c>
      <c r="B93" s="1608" t="s">
        <v>80</v>
      </c>
      <c r="C93" t="s">
        <v>3077</v>
      </c>
      <c r="D93" t="s">
        <v>77</v>
      </c>
    </row>
    <row r="94" spans="1:4" x14ac:dyDescent="0.25">
      <c r="A94" s="1605" t="s">
        <v>3045</v>
      </c>
      <c r="B94" s="1608" t="s">
        <v>3023</v>
      </c>
      <c r="C94" t="s">
        <v>3077</v>
      </c>
      <c r="D94" t="s">
        <v>77</v>
      </c>
    </row>
    <row r="95" spans="1:4" x14ac:dyDescent="0.25">
      <c r="A95" s="1605" t="s">
        <v>90</v>
      </c>
      <c r="B95" s="1608" t="s">
        <v>81</v>
      </c>
      <c r="C95" t="s">
        <v>3077</v>
      </c>
      <c r="D95" t="s">
        <v>77</v>
      </c>
    </row>
    <row r="96" spans="1:4" x14ac:dyDescent="0.25">
      <c r="A96" s="1605" t="s">
        <v>3046</v>
      </c>
      <c r="B96" s="1608" t="s">
        <v>3028</v>
      </c>
      <c r="C96" t="s">
        <v>3077</v>
      </c>
      <c r="D96" t="s">
        <v>77</v>
      </c>
    </row>
    <row r="97" spans="1:3" x14ac:dyDescent="0.25">
      <c r="A97" s="1605" t="s">
        <v>89</v>
      </c>
      <c r="B97" s="1608" t="s">
        <v>6</v>
      </c>
      <c r="C97" t="s">
        <v>3077</v>
      </c>
    </row>
    <row r="98" spans="1:3" x14ac:dyDescent="0.25">
      <c r="A98" s="1605" t="s">
        <v>3041</v>
      </c>
      <c r="B98" s="1608" t="s">
        <v>1</v>
      </c>
      <c r="C98" t="s">
        <v>3077</v>
      </c>
    </row>
    <row r="99" spans="1:3" x14ac:dyDescent="0.25">
      <c r="A99" s="1605" t="s">
        <v>88</v>
      </c>
      <c r="B99" s="1608" t="s">
        <v>40</v>
      </c>
      <c r="C99" t="s">
        <v>3077</v>
      </c>
    </row>
    <row r="100" spans="1:3" x14ac:dyDescent="0.25">
      <c r="A100" s="1605" t="s">
        <v>87</v>
      </c>
      <c r="B100" s="1608" t="s">
        <v>71</v>
      </c>
      <c r="C100" t="s">
        <v>3077</v>
      </c>
    </row>
    <row r="101" spans="1:3" x14ac:dyDescent="0.25">
      <c r="A101" s="1605" t="s">
        <v>86</v>
      </c>
      <c r="B101" s="1608" t="s">
        <v>72</v>
      </c>
      <c r="C101" t="s">
        <v>3077</v>
      </c>
    </row>
    <row r="102" spans="1:3" x14ac:dyDescent="0.25">
      <c r="A102" s="1605" t="s">
        <v>85</v>
      </c>
      <c r="B102" s="1608" t="s">
        <v>73</v>
      </c>
      <c r="C102" t="s">
        <v>3077</v>
      </c>
    </row>
    <row r="103" spans="1:3" x14ac:dyDescent="0.25">
      <c r="A103" s="1605" t="s">
        <v>3042</v>
      </c>
      <c r="B103" s="1608" t="s">
        <v>2871</v>
      </c>
      <c r="C103" t="s">
        <v>2869</v>
      </c>
    </row>
    <row r="104" spans="1:3" x14ac:dyDescent="0.25">
      <c r="A104" s="1605" t="s">
        <v>84</v>
      </c>
      <c r="B104" s="1605" t="s">
        <v>74</v>
      </c>
      <c r="C104" t="s">
        <v>83</v>
      </c>
    </row>
    <row r="105" spans="1:3" x14ac:dyDescent="0.25">
      <c r="A105" s="1605" t="s">
        <v>82</v>
      </c>
      <c r="B105" s="1608" t="s">
        <v>76</v>
      </c>
      <c r="C105" t="s">
        <v>75</v>
      </c>
    </row>
  </sheetData>
  <hyperlinks>
    <hyperlink ref="A2" location="'01-71-0001'!C9" display="01-71-0001"/>
    <hyperlink ref="B2" location="'01-71-0001'!C9" display="Senate"/>
    <hyperlink ref="A3" location="'01-71-0002'!C9" display="01-71-0002"/>
    <hyperlink ref="B3" location="'01-71-0002'!C9" display="General Assembly"/>
    <hyperlink ref="A4" location="'01-71-0003'!C9" display="01-71-0003"/>
    <hyperlink ref="B4" location="'01-71-0003'!C9" display="Office of Legislative Services"/>
    <hyperlink ref="A5" location="'01-77'!C9" display="01-77"/>
    <hyperlink ref="B5" location="'01-77'!C9" display="Legislative Commissions and Committees"/>
    <hyperlink ref="A6" location="'06-76'!C9" display="06-76"/>
    <hyperlink ref="B6" location="'06-76'!C9" display="Management and Administration"/>
    <hyperlink ref="A7" location="'10-49'!C9" display="10-49"/>
    <hyperlink ref="B7" location="'10-49'!C9" display="Agricultural Resources, Planning, and Regulation"/>
    <hyperlink ref="A8" location="'14-52'!C9" display="14-52"/>
    <hyperlink ref="B8" location="'14-52'!C9" display="Economic Regulation"/>
    <hyperlink ref="A9" location="'16-55'!C9" display="16-55"/>
    <hyperlink ref="B9" location="'16-55'!C9" display="Social Services Programs"/>
    <hyperlink ref="A10" location="'22-41'!C9" display="22-41"/>
    <hyperlink ref="B10" location="'22-41'!C9" display="Community Development Management"/>
    <hyperlink ref="A11" location="'22-55'!C9" display="22-55"/>
    <hyperlink ref="B11" location="'22-55'!C9" display="Social Services Programs"/>
    <hyperlink ref="A12" location="'22-75'!C9" display="22-75"/>
    <hyperlink ref="B12" location="'22-75'!C9" display="State Subsidies and Financial Aid"/>
    <hyperlink ref="A13" location="'22-76'!C9" display="22-76"/>
    <hyperlink ref="B13" location="'22-76'!C9" display="Management and Administration"/>
    <hyperlink ref="A16" location="'26-16-7025'!C9" display="26-16-7025"/>
    <hyperlink ref="B16" location="'26-16-7025'!C9" display="System-Wide Program Support"/>
    <hyperlink ref="A14" location="'26-16'!C9" display="26-16"/>
    <hyperlink ref="B14" location="'26-16'!C9" display="Detention and Rehabilitation"/>
    <hyperlink ref="A18" location="'26-17'!C9" display="26-17"/>
    <hyperlink ref="B18" location="'26-17'!C9" display="Parole"/>
    <hyperlink ref="A19" location="'26-19'!C9" display="26-19"/>
    <hyperlink ref="B19" location="'26-19'!C9" display="Central Planning, Direction and Management"/>
    <hyperlink ref="A20" location="'34-31'!C9" display="34-31"/>
    <hyperlink ref="B20" location="'34-31'!C9" display="Direct Educational Services and Assistance"/>
    <hyperlink ref="A21" location="'34-32'!C9" display="34-32"/>
    <hyperlink ref="B21" location="'34-32'!C9" display="Operation and Support of Educational Institutions"/>
    <hyperlink ref="A22" location="'34-33'!C9" display="34-33"/>
    <hyperlink ref="B22" location="'34-33'!C9" display="Supplemental Education and Training Programs"/>
    <hyperlink ref="A23" location="'34-34'!C9" display="34-34"/>
    <hyperlink ref="B23" location="'34-34'!C9" display="Educational Support Services"/>
    <hyperlink ref="A24" location="'34-35'!C9" display="34-35"/>
    <hyperlink ref="B24" location="'34-35'!C9" display="Education Administration and Management"/>
    <hyperlink ref="A25" location="'42-42'!C9" display="42-42"/>
    <hyperlink ref="B25" location="'42-42'!C9" display="Natural Resource Management"/>
    <hyperlink ref="A26" location="'42-43'!C9" display="42-43"/>
    <hyperlink ref="B26" location="'42-43'!C9" display="Science and Technical Programs"/>
    <hyperlink ref="A27" location="'42-44'!C9" display="42-44"/>
    <hyperlink ref="B27" location="'42-44'!C9" display="Site Remediation and Waste Management"/>
    <hyperlink ref="A28" location="'42-45'!C9" display="42-45"/>
    <hyperlink ref="B28" location="'42-45'!C9" display="Environmental Regulation"/>
    <hyperlink ref="A29" location="'42-46'!C9" display="42-46"/>
    <hyperlink ref="B29" location="'42-46'!C9" display="Environmental Planning and Administration"/>
    <hyperlink ref="A30" location="'42-47'!C9" display="42-47"/>
    <hyperlink ref="B30" location="'42-47'!C9" display="Compliance and Enforcement"/>
    <hyperlink ref="A31" location="'46-21'!C9" display="46-21"/>
    <hyperlink ref="B31" location="'46-21'!C9" display="Health Services"/>
    <hyperlink ref="A33" location="'46-22'!C9" display="46-22"/>
    <hyperlink ref="B33" location="'46-22'!C9" display="Health Planning and Evaluation"/>
    <hyperlink ref="A35" location="'46-23-4290'!C9" display="46-23-4290"/>
    <hyperlink ref="B35" location="'46-23-4290'!C9" display="Division of Mental Health Services"/>
    <hyperlink ref="A34" location="'46-23'!C9" display="46-23"/>
    <hyperlink ref="B34" location="'46-23'!C9" display="Mental Health Services"/>
    <hyperlink ref="A36" location="'46-25'!C9" display="46-25"/>
    <hyperlink ref="B36" location="'46-25'!C9" display="Health Administration"/>
    <hyperlink ref="A37" location="'54-24-7540'!C9" display="54-24-7540"/>
    <hyperlink ref="B37" location="'54-24-7540'!C9" display="Division of Medical Assistance and Health Services"/>
    <hyperlink ref="A38" location="'54-26'!C9" display="54-26"/>
    <hyperlink ref="B38" location="'54-26'!C9" display="Aging Services"/>
    <hyperlink ref="A39" location="'54-27-7545'!C9" display="54-27-7545"/>
    <hyperlink ref="B39" location="'54-27-7545'!C9" display="Division of Disability Services"/>
    <hyperlink ref="A41" location="'54-32-7601'!C9" display="54-32-7601"/>
    <hyperlink ref="B41" location="'54-32-7601'!C9" display="Community Programs"/>
    <hyperlink ref="A40" location="'54-32'!C9" display="54-32"/>
    <hyperlink ref="B40" location="'54-32'!C9" display="Operation and Support of Educational Institutions"/>
    <hyperlink ref="A42" location="'54-33-7560'!C9" display="54-33-7560"/>
    <hyperlink ref="B42" location="'54-33-7560'!C9" display="Commission for the Blind and Visually Impaired"/>
    <hyperlink ref="A43" location="'54-53-7550'!C9" display="54-53-7550"/>
    <hyperlink ref="B43" location="'54-53-7550'!C9" display="Division of Family Development"/>
    <hyperlink ref="A44" location="'54-55-7580'!C9" display="54-55-7580"/>
    <hyperlink ref="B44" location="'54-55-7580'!C9" display="Division of the Deaf and Hard of Hearing"/>
    <hyperlink ref="A45" location="'54-76-7500'!C9" display="54-76-7500"/>
    <hyperlink ref="B45" location="'54-76-7500'!C9" display="Division of Management and Budget"/>
    <hyperlink ref="A46" location="'62-51'!C9" display="62-51"/>
    <hyperlink ref="B46" location="'62-51'!C9" display="Economic Planning and Development"/>
    <hyperlink ref="A47" location="'62-53'!C9" display="62-53"/>
    <hyperlink ref="B47" location="'62-53'!C9" display="Economic Assistance and Security"/>
    <hyperlink ref="A48" location="'62-54'!C9" display="62-54"/>
    <hyperlink ref="B48" location="'62-54'!C9" display="Manpower and Employment Services"/>
    <hyperlink ref="A49" location="'62-74'!C9" display="62-74"/>
    <hyperlink ref="B49" location="'62-74'!C9" display="General Government Services"/>
    <hyperlink ref="A50" location="'66-12'!C9" display="66-12"/>
    <hyperlink ref="B50" location="'66-12'!C9" display="Law Enforcement"/>
    <hyperlink ref="A51" location="'66-13'!C9" display="66-13"/>
    <hyperlink ref="B51" location="'66-13'!C9" display="Special Law Enforcement Activities"/>
    <hyperlink ref="A52" location="'66-18'!C9" display="66-18"/>
    <hyperlink ref="B52" location="'66-18'!C9" display="Juvenile Services"/>
    <hyperlink ref="A53" location="'66-19'!C9" display="66-19"/>
    <hyperlink ref="B53" location="'66-19'!C9" display="Central Planning, Direction and Management"/>
    <hyperlink ref="A54" location="'66-74'!C9" display="66-74"/>
    <hyperlink ref="B54" location="'66-74'!C9" display="General Government Services"/>
    <hyperlink ref="A55" location="'66-82'!C9" display="66-82"/>
    <hyperlink ref="B55" location="'66-82'!C9" display="Protection of Citizens' Rights"/>
    <hyperlink ref="A56" location="'67-14'!C9" display="67-14"/>
    <hyperlink ref="B56" location="'67-14'!C9" display="Military Services"/>
    <hyperlink ref="A57" location="'67-83-3610'!C9" display="67-83-3610"/>
    <hyperlink ref="B57" location="'67-83-3610'!C9" display="Veterans' Program Support"/>
    <hyperlink ref="A58" location="'67-83-3630'!C9" display="67-83-3630"/>
    <hyperlink ref="B58" location="'67-83-3630'!C9" display="Menlo Park Veterans' Memorial Home"/>
    <hyperlink ref="A59" location="'67-83-3640'!C9" display="67-83-3640"/>
    <hyperlink ref="B59" location="'67-83-3640'!C9" display="Paramus Veterans' Memorial Home"/>
    <hyperlink ref="A60" location="'67-83-3650'!C9" display="67-83-3650"/>
    <hyperlink ref="B60" location="'67-83-3650'!C9" display="Vineland Veterans' Memorial Home"/>
    <hyperlink ref="A62" location="'74-36-2405'!C9" display="74-36-2405"/>
    <hyperlink ref="B62" location="'74-36-2405'!C9" display="Higher Education Student Assistance Authority"/>
    <hyperlink ref="A63" location="'74-36-2410'!C9" display="74-36-2410"/>
    <hyperlink ref="B63" location="'74-36-2410'!C9" display="Rutgers, The State University"/>
    <hyperlink ref="A64" location="'74-36-2415'!C9" display="74-36-2415"/>
    <hyperlink ref="B64" location="'74-36-2415'!C9" display="Agricultural Experiment Station"/>
    <hyperlink ref="A65" location="'74-36-2416'!C9" display="74-36-2416"/>
    <hyperlink ref="B65" location="'74-36-2416'!C9" display="Rutgers University - Camden"/>
    <hyperlink ref="A66" location="'74-36-2417'!C9" display="74-36-2417"/>
    <hyperlink ref="B66" location="'74-36-2417'!C9" display="Rutgers University - Newark"/>
    <hyperlink ref="A67" location="'74-36-2430'!C9" display="74-36-2430"/>
    <hyperlink ref="B67" location="'74-36-2430'!C9" display="New Jersey Institute of Technology"/>
    <hyperlink ref="A68" location="'74-36-2440'!C9" display="74-36-2440"/>
    <hyperlink ref="B68" location="'74-36-2440'!C9" display="Thomas A. Edison State College"/>
    <hyperlink ref="A69" location="'74-36-2445'!C9" display="74-36-2445"/>
    <hyperlink ref="B69" location="'74-36-2445'!C9" display="Rowan University"/>
    <hyperlink ref="A70" location="'74-36-2450'!C9" display="74-36-2450"/>
    <hyperlink ref="B70" location="'74-36-2450'!C9" display="New Jersey City University"/>
    <hyperlink ref="A71" location="'74-36-2455'!C9" display="74-36-2455"/>
    <hyperlink ref="B71" location="'74-36-2455'!C9" display="Kean University"/>
    <hyperlink ref="A72" location="'74-36-2460'!C9" display="74-36-2460"/>
    <hyperlink ref="B72" location="'74-36-2460'!C9" display="William Paterson University of New Jersey"/>
    <hyperlink ref="A73" location="'74-36-2465'!C9" display="74-36-2465"/>
    <hyperlink ref="B73" location="'74-36-2465'!C9" display="Montclair State University"/>
    <hyperlink ref="A74" location="'74-36-2470'!C9" display="74-36-2470"/>
    <hyperlink ref="B74" location="'74-36-2470'!C9" display="The College of New Jersey"/>
    <hyperlink ref="A75" location="'74-36-2475'!C9" display="74-36-2475"/>
    <hyperlink ref="B75" location="'74-36-2475'!C9" display="Ramapo College of New Jersey"/>
    <hyperlink ref="A76" location="'74-36-2480'!C9" display="74-36-2480"/>
    <hyperlink ref="B76" location="'74-36-2480'!C9" display="Stockton University"/>
    <hyperlink ref="A77" location="'74-36-2485'!C9" display="74-36-2485"/>
    <hyperlink ref="B77" location="'74-36-2485'!C9" display="University Hospital"/>
    <hyperlink ref="A61" location="'74-36'!C9" display="74-36"/>
    <hyperlink ref="B61" location="'74-36'!C9" display="Higher Educational Services"/>
    <hyperlink ref="A79" location="'74-37-2541'!C9" display="74-37-2541"/>
    <hyperlink ref="B79" location="'74-37-2541'!C9" display="Division of State Library"/>
    <hyperlink ref="A78" location="'74-37'!C9" display="74-37"/>
    <hyperlink ref="B78" location="'74-37'!C9" display="Cultural and Intellectual Development Services"/>
    <hyperlink ref="A80" location="'74-74'!C9" display="74-74"/>
    <hyperlink ref="B80" location="'74-74'!C9" display="General Government Services"/>
    <hyperlink ref="A81" location="'78-11'!C9" display="78-11"/>
    <hyperlink ref="B81" location="'78-11'!C9" display="Vehicular Safety"/>
    <hyperlink ref="A82" location="'78-61'!C9" display="78-61"/>
    <hyperlink ref="B82" location="'78-61'!C9" display="State and Local Highway Facilities"/>
    <hyperlink ref="A83" location="'78-62'!C9" display="78-62"/>
    <hyperlink ref="B83" location="'78-62'!C9" display="Public Transportation"/>
    <hyperlink ref="A84" location="'78-64'!C9" display="78-64"/>
    <hyperlink ref="B84" location="'78-64'!C9" display="Regulation and General Management"/>
    <hyperlink ref="A85" location="'82-52'!C9" display="82-52"/>
    <hyperlink ref="B85" location="'82-52'!C9" display="Economic Regulation"/>
    <hyperlink ref="A87" location="'82-72-2066'!C9" display="82-72-2066"/>
    <hyperlink ref="B87" location="'82-72-2066'!C9" display="Office of the State Comptroller"/>
    <hyperlink ref="A86" location="'82-72'!C9" display="82-72"/>
    <hyperlink ref="B86" location="'82-72'!C9" display="Governmental Review and Oversight"/>
    <hyperlink ref="A88" location="'82-73'!C9" display="82-73"/>
    <hyperlink ref="B88" location="'82-73'!C9" display="Financial Administration"/>
    <hyperlink ref="A91" location="'82-74-2026'!C9" display="82-74-2026"/>
    <hyperlink ref="B91" location="'82-74-2026'!C9" display="Office of Administrative Law"/>
    <hyperlink ref="A92" location="'82-74-2034'!C9" display="82-74-2034"/>
    <hyperlink ref="B92" location="'82-74-2034'!C9" display="Office of Information Technology"/>
    <hyperlink ref="A89" location="'82-74'!C9" display="82-74"/>
    <hyperlink ref="B89" location="'82-74'!C9" display="General Government Services"/>
    <hyperlink ref="A97" location="'82-75'!C9" display="82-75"/>
    <hyperlink ref="B97" location="'82-75'!C9" display="State Subsidies and Financial Aid"/>
    <hyperlink ref="A98" location="'82-76'!C9" display="82-76"/>
    <hyperlink ref="B98" location="'82-76'!C9" display="Management and Administration"/>
    <hyperlink ref="A100" location="'82-82-2096'!C9" display="82-82-2096"/>
    <hyperlink ref="B100" location="'82-82-2096'!C9" display="Corrections Ombudsperson"/>
    <hyperlink ref="A101" location="'82-82-2097'!C9" display="82-82-2097"/>
    <hyperlink ref="B101" location="'82-82-2097'!C9" display="Division of Elder Advocacy"/>
    <hyperlink ref="A102" location="'82-82-2098'!C9" display="82-82-2098"/>
    <hyperlink ref="B102" location="'82-82-2098'!C9" display="Division of Rate Counsel"/>
    <hyperlink ref="A99" location="'82-82'!C9" display="82-82"/>
    <hyperlink ref="B99" location="'82-82'!C9" display="Protection of Citizens' Rights"/>
    <hyperlink ref="A103" location="'90-72-9148'!C9" display="90-72-9148"/>
    <hyperlink ref="B103" location="'90-72-9148'!C9" display="Council on Local Mandates"/>
    <hyperlink ref="A104" location="'94-74-9410'!C9" display="94-74-9410"/>
    <hyperlink ref="A105" location="'98-15'!C9" display="98-15"/>
    <hyperlink ref="B105" location="'98-15'!C9" display="Judicial Services"/>
    <hyperlink ref="A15" location="'26-16-7020'!C9" display="26-16-7020"/>
    <hyperlink ref="B15" location="'26-16-7020'!C9" display="Bureau of State Use Industries"/>
    <hyperlink ref="A17" location="'26-16-7030'!C9" display="26-16-7030"/>
    <hyperlink ref="B17" location="'26-16-7030'!C9" display="Bureau of State Farm Operations"/>
    <hyperlink ref="A32" location="'46-21-4280'!C9" display="46-21-4280"/>
    <hyperlink ref="B32" location="'46-21-4280'!C9" display="Division of Public Health and Environmental Laboratories"/>
    <hyperlink ref="A90" location="'82-74-2020'!C9" display="82-74-2020"/>
    <hyperlink ref="B90" location="'82-74-2020'!C9" display="Office of Public Communication"/>
    <hyperlink ref="A93" location="'82-74-2052'!C9" display="82-74-2052"/>
    <hyperlink ref="B93" location="'82-74-2052'!C9" display="State Central Motor Pool"/>
    <hyperlink ref="A94" location="'82-74-2056'!C9" display="82-74-2056"/>
    <hyperlink ref="B94" location="'82-74-2056'!C9" display="Print Shop"/>
    <hyperlink ref="A95" location="'82-74-2057'!C9" display="82-74-2057"/>
    <hyperlink ref="B95" location="'82-74-2057'!C9" display="Distribution Center"/>
    <hyperlink ref="A96" location="'82-74-2065'!C9" display="82-74-2065"/>
    <hyperlink ref="B96" location="'82-74-2065'!C9" display="Division of Property Management and Construction"/>
    <hyperlink ref="B104" location="'94-74-9410'!C9" display="Employee Benefits"/>
  </hyperlinks>
  <pageMargins left="0.7" right="0.7" top="0.75" bottom="0.75" header="0.3" footer="0.3"/>
  <pageSetup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7">
    <pageSetUpPr fitToPage="1"/>
  </sheetPr>
  <dimension ref="A1:Q127"/>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6.5703125" style="26" bestFit="1"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417</v>
      </c>
      <c r="C3" s="10" t="s">
        <v>418</v>
      </c>
      <c r="D3" s="6"/>
      <c r="E3" s="11"/>
      <c r="F3" s="9"/>
      <c r="G3" s="11"/>
      <c r="H3" s="6"/>
      <c r="I3" s="11"/>
      <c r="J3" s="6"/>
      <c r="K3" s="1734"/>
      <c r="L3" s="6"/>
      <c r="M3" s="11"/>
      <c r="N3" s="6"/>
    </row>
    <row r="4" spans="1:16" s="4" customFormat="1" ht="15.75" x14ac:dyDescent="0.25">
      <c r="A4" s="1" t="s">
        <v>180</v>
      </c>
      <c r="B4" s="10" t="s">
        <v>419</v>
      </c>
      <c r="C4" s="10" t="s">
        <v>5</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420</v>
      </c>
      <c r="B11" s="36"/>
    </row>
    <row r="12" spans="1:16" s="40" customFormat="1" x14ac:dyDescent="0.2">
      <c r="A12" s="41" t="s">
        <v>421</v>
      </c>
      <c r="B12" s="39"/>
      <c r="C12" s="240">
        <v>94693</v>
      </c>
      <c r="D12" s="241"/>
      <c r="E12" s="242">
        <v>94693</v>
      </c>
      <c r="G12" s="243">
        <v>94693</v>
      </c>
      <c r="I12" s="243">
        <v>96759</v>
      </c>
      <c r="K12" s="76">
        <v>96759.106478600006</v>
      </c>
      <c r="M12" s="77"/>
      <c r="O12" s="37"/>
    </row>
    <row r="13" spans="1:16" s="40" customFormat="1" x14ac:dyDescent="0.2">
      <c r="A13" s="41" t="s">
        <v>422</v>
      </c>
      <c r="B13" s="39"/>
      <c r="C13" s="244">
        <v>1045350</v>
      </c>
      <c r="D13" s="245"/>
      <c r="E13" s="246">
        <v>1052387</v>
      </c>
      <c r="G13" s="243">
        <v>1045350</v>
      </c>
      <c r="I13" s="243">
        <v>1064786</v>
      </c>
      <c r="K13" s="76">
        <v>1064786</v>
      </c>
      <c r="M13" s="77"/>
      <c r="O13" s="76"/>
    </row>
    <row r="14" spans="1:16" s="40" customFormat="1" x14ac:dyDescent="0.2">
      <c r="A14" s="41" t="s">
        <v>423</v>
      </c>
      <c r="B14" s="39"/>
      <c r="C14" s="244">
        <v>226646</v>
      </c>
      <c r="D14" s="245"/>
      <c r="E14" s="246">
        <v>226024</v>
      </c>
      <c r="G14" s="243">
        <v>226076</v>
      </c>
      <c r="I14" s="243">
        <v>206465</v>
      </c>
      <c r="K14" s="76">
        <v>191016</v>
      </c>
      <c r="M14" s="77"/>
      <c r="O14" s="76"/>
    </row>
    <row r="15" spans="1:16" s="40" customFormat="1" x14ac:dyDescent="0.2">
      <c r="A15" s="41" t="s">
        <v>424</v>
      </c>
      <c r="B15" s="39"/>
      <c r="C15" s="244">
        <v>175139</v>
      </c>
      <c r="D15" s="245"/>
      <c r="E15" s="246">
        <v>197947</v>
      </c>
      <c r="G15" s="243">
        <v>180861</v>
      </c>
      <c r="I15" s="243">
        <v>185819</v>
      </c>
      <c r="K15" s="76">
        <v>171914</v>
      </c>
      <c r="M15" s="77"/>
      <c r="O15" s="76"/>
    </row>
    <row r="16" spans="1:16" s="40" customFormat="1" x14ac:dyDescent="0.2">
      <c r="A16" s="41" t="s">
        <v>425</v>
      </c>
      <c r="B16" s="39"/>
      <c r="C16" s="247">
        <v>0.77</v>
      </c>
      <c r="D16" s="241"/>
      <c r="E16" s="248">
        <v>0.88</v>
      </c>
      <c r="G16" s="249">
        <v>0.8</v>
      </c>
      <c r="I16" s="249">
        <v>0.9</v>
      </c>
      <c r="K16" s="93">
        <v>0.9</v>
      </c>
      <c r="M16" s="84"/>
      <c r="O16" s="76"/>
    </row>
    <row r="17" spans="1:15" s="40" customFormat="1" x14ac:dyDescent="0.2">
      <c r="A17" s="41" t="s">
        <v>426</v>
      </c>
      <c r="B17" s="39"/>
      <c r="C17" s="250">
        <v>43.62</v>
      </c>
      <c r="D17" s="241"/>
      <c r="E17" s="251">
        <v>44.29</v>
      </c>
      <c r="G17" s="252">
        <v>43.62</v>
      </c>
      <c r="I17" s="252">
        <v>44.29</v>
      </c>
      <c r="K17" s="253">
        <v>44.29</v>
      </c>
      <c r="M17" s="254"/>
      <c r="O17" s="93"/>
    </row>
    <row r="18" spans="1:15" s="40" customFormat="1" x14ac:dyDescent="0.2">
      <c r="A18" s="41" t="s">
        <v>427</v>
      </c>
      <c r="B18" s="39"/>
      <c r="C18" s="250">
        <v>33.369999999999997</v>
      </c>
      <c r="D18" s="241"/>
      <c r="E18" s="251">
        <v>36.26</v>
      </c>
      <c r="G18" s="252">
        <v>33.369999999999997</v>
      </c>
      <c r="I18" s="252">
        <v>36.26</v>
      </c>
      <c r="K18" s="253">
        <v>36.26</v>
      </c>
      <c r="M18" s="77"/>
      <c r="O18" s="253"/>
    </row>
    <row r="19" spans="1:15" s="40" customFormat="1" x14ac:dyDescent="0.2">
      <c r="A19" s="41" t="s">
        <v>428</v>
      </c>
      <c r="B19" s="39"/>
      <c r="C19" s="255">
        <v>8668</v>
      </c>
      <c r="D19" s="241"/>
      <c r="E19" s="242">
        <v>4311</v>
      </c>
      <c r="G19" s="243">
        <v>8668</v>
      </c>
      <c r="I19" s="243">
        <v>4311</v>
      </c>
      <c r="K19" s="76">
        <v>4311</v>
      </c>
      <c r="M19" s="77"/>
      <c r="O19" s="253"/>
    </row>
    <row r="20" spans="1:15" s="37" customFormat="1" x14ac:dyDescent="0.2">
      <c r="A20" s="35" t="s">
        <v>429</v>
      </c>
      <c r="B20" s="36"/>
      <c r="C20" s="256"/>
      <c r="D20" s="257"/>
      <c r="E20" s="257"/>
      <c r="G20" s="258"/>
      <c r="I20" s="258"/>
      <c r="O20" s="76"/>
    </row>
    <row r="21" spans="1:15" s="40" customFormat="1" ht="13.5" customHeight="1" x14ac:dyDescent="0.2">
      <c r="A21" s="41" t="s">
        <v>430</v>
      </c>
      <c r="B21" s="39"/>
      <c r="C21" s="255">
        <v>6199</v>
      </c>
      <c r="D21" s="259"/>
      <c r="E21" s="242">
        <v>1884</v>
      </c>
      <c r="F21" s="77"/>
      <c r="G21" s="243">
        <v>3750</v>
      </c>
      <c r="H21" s="77"/>
      <c r="I21" s="243">
        <v>3750</v>
      </c>
      <c r="J21" s="77"/>
      <c r="K21" s="76">
        <v>3500</v>
      </c>
      <c r="M21" s="77"/>
    </row>
    <row r="22" spans="1:15" s="40" customFormat="1" x14ac:dyDescent="0.2">
      <c r="A22" s="41" t="s">
        <v>431</v>
      </c>
      <c r="B22" s="39"/>
      <c r="C22" s="260"/>
      <c r="D22" s="259"/>
      <c r="E22" s="242"/>
      <c r="F22" s="77"/>
      <c r="G22" s="243"/>
      <c r="H22" s="77"/>
      <c r="I22" s="243"/>
      <c r="J22" s="77"/>
      <c r="K22" s="77"/>
    </row>
    <row r="23" spans="1:15" s="40" customFormat="1" x14ac:dyDescent="0.2">
      <c r="A23" s="90" t="s">
        <v>432</v>
      </c>
      <c r="B23" s="39"/>
      <c r="C23" s="261">
        <v>948</v>
      </c>
      <c r="D23" s="259"/>
      <c r="E23" s="242">
        <v>1000</v>
      </c>
      <c r="F23" s="77"/>
      <c r="G23" s="243">
        <v>1000</v>
      </c>
      <c r="H23" s="77"/>
      <c r="I23" s="243">
        <v>1000</v>
      </c>
      <c r="J23" s="77"/>
      <c r="K23" s="76">
        <v>1000</v>
      </c>
      <c r="M23" s="262"/>
    </row>
    <row r="24" spans="1:15" s="40" customFormat="1" x14ac:dyDescent="0.2">
      <c r="A24" s="90" t="s">
        <v>433</v>
      </c>
      <c r="B24" s="39"/>
      <c r="C24" s="261">
        <v>10</v>
      </c>
      <c r="D24" s="259"/>
      <c r="E24" s="242">
        <v>65</v>
      </c>
      <c r="F24" s="77"/>
      <c r="G24" s="243">
        <v>20</v>
      </c>
      <c r="H24" s="77"/>
      <c r="I24" s="243">
        <v>20</v>
      </c>
      <c r="J24" s="77"/>
      <c r="K24" s="76">
        <v>20</v>
      </c>
      <c r="M24" s="262"/>
    </row>
    <row r="25" spans="1:15" s="37" customFormat="1" x14ac:dyDescent="0.2">
      <c r="A25" s="35" t="s">
        <v>434</v>
      </c>
      <c r="B25" s="36"/>
      <c r="C25" s="263"/>
      <c r="D25" s="257"/>
      <c r="E25" s="264"/>
      <c r="F25" s="89"/>
      <c r="G25" s="265"/>
      <c r="H25" s="89"/>
      <c r="I25" s="265"/>
      <c r="J25" s="89"/>
      <c r="K25" s="89"/>
    </row>
    <row r="26" spans="1:15" s="40" customFormat="1" x14ac:dyDescent="0.2">
      <c r="A26" s="41" t="s">
        <v>435</v>
      </c>
      <c r="B26" s="39"/>
      <c r="C26" s="266">
        <v>6184</v>
      </c>
      <c r="D26" s="259"/>
      <c r="E26" s="267">
        <v>6273</v>
      </c>
      <c r="F26" s="77"/>
      <c r="G26" s="243">
        <v>6184</v>
      </c>
      <c r="H26" s="77"/>
      <c r="I26" s="267">
        <v>6273</v>
      </c>
      <c r="J26" s="77"/>
      <c r="K26" s="267">
        <v>6273</v>
      </c>
      <c r="M26" s="77"/>
    </row>
    <row r="27" spans="1:15" s="40" customFormat="1" x14ac:dyDescent="0.2">
      <c r="A27" s="41" t="s">
        <v>436</v>
      </c>
      <c r="B27" s="39"/>
      <c r="C27" s="266">
        <v>24091</v>
      </c>
      <c r="D27" s="259"/>
      <c r="E27" s="267">
        <v>22783</v>
      </c>
      <c r="F27" s="77"/>
      <c r="G27" s="243">
        <v>24091</v>
      </c>
      <c r="H27" s="77"/>
      <c r="I27" s="267">
        <v>22783</v>
      </c>
      <c r="J27" s="77"/>
      <c r="K27" s="267">
        <v>22783</v>
      </c>
      <c r="M27" s="77"/>
    </row>
    <row r="28" spans="1:15" s="40" customFormat="1" ht="12.75" customHeight="1" x14ac:dyDescent="0.2">
      <c r="A28" s="41" t="s">
        <v>437</v>
      </c>
      <c r="B28" s="39"/>
      <c r="C28" s="266">
        <v>4293</v>
      </c>
      <c r="D28" s="259"/>
      <c r="E28" s="267">
        <v>4385</v>
      </c>
      <c r="F28" s="77"/>
      <c r="G28" s="243">
        <v>4293</v>
      </c>
      <c r="H28" s="77"/>
      <c r="I28" s="267">
        <v>4385</v>
      </c>
      <c r="J28" s="77"/>
      <c r="K28" s="267">
        <v>4385</v>
      </c>
      <c r="M28" s="77"/>
    </row>
    <row r="29" spans="1:15" s="40" customFormat="1" ht="12.75" customHeight="1" x14ac:dyDescent="0.2">
      <c r="A29" s="41" t="s">
        <v>438</v>
      </c>
      <c r="B29" s="39"/>
      <c r="C29" s="266">
        <v>762</v>
      </c>
      <c r="D29" s="259"/>
      <c r="E29" s="267">
        <v>876</v>
      </c>
      <c r="F29" s="77"/>
      <c r="G29" s="243">
        <v>762</v>
      </c>
      <c r="H29" s="77"/>
      <c r="I29" s="267">
        <v>876</v>
      </c>
      <c r="J29" s="77"/>
      <c r="K29" s="267">
        <v>876</v>
      </c>
      <c r="M29" s="77"/>
    </row>
    <row r="30" spans="1:15" s="40" customFormat="1" x14ac:dyDescent="0.2">
      <c r="A30" s="41" t="s">
        <v>439</v>
      </c>
      <c r="B30" s="39"/>
      <c r="C30" s="268"/>
      <c r="D30" s="241"/>
      <c r="E30" s="269"/>
      <c r="F30" s="77"/>
      <c r="G30" s="243"/>
      <c r="H30" s="77"/>
      <c r="I30" s="269"/>
      <c r="J30" s="77"/>
      <c r="K30" s="269"/>
    </row>
    <row r="31" spans="1:15" s="40" customFormat="1" x14ac:dyDescent="0.2">
      <c r="A31" s="90" t="s">
        <v>440</v>
      </c>
      <c r="B31" s="39"/>
      <c r="C31" s="266">
        <v>33</v>
      </c>
      <c r="D31" s="259"/>
      <c r="E31" s="267">
        <v>17</v>
      </c>
      <c r="F31" s="77"/>
      <c r="G31" s="243">
        <v>33</v>
      </c>
      <c r="H31" s="77"/>
      <c r="I31" s="267">
        <v>17</v>
      </c>
      <c r="J31" s="77"/>
      <c r="K31" s="267">
        <v>17</v>
      </c>
      <c r="M31" s="77"/>
    </row>
    <row r="32" spans="1:15" s="40" customFormat="1" x14ac:dyDescent="0.2">
      <c r="A32" s="90" t="s">
        <v>441</v>
      </c>
      <c r="B32" s="39"/>
      <c r="C32" s="266">
        <v>774</v>
      </c>
      <c r="D32" s="259"/>
      <c r="E32" s="267">
        <v>741</v>
      </c>
      <c r="F32" s="77"/>
      <c r="G32" s="243">
        <v>774</v>
      </c>
      <c r="H32" s="77"/>
      <c r="I32" s="267">
        <v>741</v>
      </c>
      <c r="J32" s="77"/>
      <c r="K32" s="267">
        <v>741</v>
      </c>
      <c r="M32" s="77"/>
    </row>
    <row r="33" spans="1:13" s="40" customFormat="1" x14ac:dyDescent="0.2">
      <c r="A33" s="90" t="s">
        <v>442</v>
      </c>
      <c r="B33" s="39"/>
      <c r="C33" s="266">
        <v>821</v>
      </c>
      <c r="D33" s="259"/>
      <c r="E33" s="267">
        <v>685</v>
      </c>
      <c r="F33" s="77"/>
      <c r="G33" s="243">
        <v>821</v>
      </c>
      <c r="H33" s="77"/>
      <c r="I33" s="267">
        <v>685</v>
      </c>
      <c r="J33" s="77"/>
      <c r="K33" s="267">
        <v>685</v>
      </c>
      <c r="M33" s="77"/>
    </row>
    <row r="34" spans="1:13" s="40" customFormat="1" x14ac:dyDescent="0.2">
      <c r="A34" s="41" t="s">
        <v>443</v>
      </c>
      <c r="B34" s="39"/>
      <c r="C34" s="266">
        <v>298</v>
      </c>
      <c r="D34" s="259"/>
      <c r="E34" s="267">
        <v>259</v>
      </c>
      <c r="F34" s="77"/>
      <c r="G34" s="243">
        <v>298</v>
      </c>
      <c r="H34" s="77"/>
      <c r="I34" s="267">
        <v>259</v>
      </c>
      <c r="J34" s="77"/>
      <c r="K34" s="267">
        <v>259</v>
      </c>
      <c r="M34" s="77"/>
    </row>
    <row r="35" spans="1:13" s="40" customFormat="1" x14ac:dyDescent="0.2">
      <c r="A35" s="41" t="s">
        <v>444</v>
      </c>
      <c r="B35" s="39"/>
      <c r="C35" s="268"/>
      <c r="D35" s="241"/>
      <c r="E35" s="269"/>
      <c r="F35" s="77"/>
      <c r="G35" s="243"/>
      <c r="H35" s="77"/>
      <c r="I35" s="269"/>
      <c r="J35" s="77"/>
      <c r="K35" s="269"/>
    </row>
    <row r="36" spans="1:13" s="40" customFormat="1" x14ac:dyDescent="0.2">
      <c r="A36" s="90" t="s">
        <v>445</v>
      </c>
      <c r="B36" s="39"/>
      <c r="C36" s="218">
        <v>36994</v>
      </c>
      <c r="D36" s="259"/>
      <c r="E36" s="267">
        <v>37694</v>
      </c>
      <c r="F36" s="77"/>
      <c r="G36" s="243">
        <v>36994</v>
      </c>
      <c r="H36" s="77"/>
      <c r="I36" s="267">
        <v>37694</v>
      </c>
      <c r="J36" s="77"/>
      <c r="K36" s="267">
        <v>37694</v>
      </c>
      <c r="M36" s="77"/>
    </row>
    <row r="37" spans="1:13" s="40" customFormat="1" x14ac:dyDescent="0.2">
      <c r="A37" s="90" t="s">
        <v>446</v>
      </c>
      <c r="B37" s="39"/>
      <c r="C37" s="218">
        <v>472</v>
      </c>
      <c r="D37" s="259"/>
      <c r="E37" s="267">
        <v>470</v>
      </c>
      <c r="F37" s="77"/>
      <c r="G37" s="243">
        <v>472</v>
      </c>
      <c r="H37" s="77"/>
      <c r="I37" s="267">
        <v>470</v>
      </c>
      <c r="J37" s="77"/>
      <c r="K37" s="267">
        <v>470</v>
      </c>
      <c r="M37" s="77"/>
    </row>
    <row r="38" spans="1:13" s="40" customFormat="1" x14ac:dyDescent="0.2">
      <c r="A38" s="41" t="s">
        <v>447</v>
      </c>
      <c r="B38" s="39"/>
      <c r="C38" s="218">
        <v>1505</v>
      </c>
      <c r="D38" s="259"/>
      <c r="E38" s="267">
        <v>1410</v>
      </c>
      <c r="F38" s="77"/>
      <c r="G38" s="243">
        <v>1505</v>
      </c>
      <c r="H38" s="77"/>
      <c r="I38" s="267">
        <v>1410</v>
      </c>
      <c r="J38" s="77"/>
      <c r="K38" s="267">
        <v>1410</v>
      </c>
      <c r="M38" s="77"/>
    </row>
    <row r="39" spans="1:13" s="40" customFormat="1" x14ac:dyDescent="0.2">
      <c r="A39" s="41" t="s">
        <v>448</v>
      </c>
      <c r="B39" s="39"/>
      <c r="C39" s="218">
        <v>14702</v>
      </c>
      <c r="D39" s="259"/>
      <c r="E39" s="267">
        <v>12203</v>
      </c>
      <c r="F39" s="77"/>
      <c r="G39" s="243">
        <v>14702</v>
      </c>
      <c r="H39" s="77"/>
      <c r="I39" s="267">
        <v>12203</v>
      </c>
      <c r="J39" s="77"/>
      <c r="K39" s="267">
        <v>12203</v>
      </c>
      <c r="M39" s="77"/>
    </row>
    <row r="40" spans="1:13" s="40" customFormat="1" x14ac:dyDescent="0.2">
      <c r="A40" s="41" t="s">
        <v>449</v>
      </c>
      <c r="B40" s="39"/>
      <c r="C40" s="218">
        <v>126</v>
      </c>
      <c r="D40" s="259"/>
      <c r="E40" s="267">
        <v>60</v>
      </c>
      <c r="F40" s="77"/>
      <c r="G40" s="243">
        <v>126</v>
      </c>
      <c r="H40" s="77"/>
      <c r="I40" s="267">
        <v>60</v>
      </c>
      <c r="J40" s="77"/>
      <c r="K40" s="267">
        <v>60</v>
      </c>
      <c r="M40" s="77"/>
    </row>
    <row r="41" spans="1:13" s="37" customFormat="1" x14ac:dyDescent="0.2">
      <c r="A41" s="35" t="s">
        <v>450</v>
      </c>
      <c r="B41" s="36"/>
      <c r="C41" s="268"/>
      <c r="D41" s="257"/>
      <c r="E41" s="270"/>
      <c r="F41" s="89"/>
      <c r="G41" s="265"/>
      <c r="H41" s="89"/>
      <c r="I41" s="270"/>
      <c r="J41" s="89"/>
      <c r="K41" s="270"/>
    </row>
    <row r="42" spans="1:13" s="40" customFormat="1" x14ac:dyDescent="0.2">
      <c r="A42" s="41" t="s">
        <v>451</v>
      </c>
      <c r="B42" s="39"/>
      <c r="C42" s="218">
        <v>1512</v>
      </c>
      <c r="D42" s="259"/>
      <c r="E42" s="267">
        <v>1443</v>
      </c>
      <c r="F42" s="77"/>
      <c r="G42" s="243">
        <v>1512</v>
      </c>
      <c r="H42" s="77"/>
      <c r="I42" s="267">
        <v>1443</v>
      </c>
      <c r="J42" s="77"/>
      <c r="K42" s="267">
        <v>1443</v>
      </c>
      <c r="M42" s="77"/>
    </row>
    <row r="43" spans="1:13" s="40" customFormat="1" x14ac:dyDescent="0.2">
      <c r="A43" s="41" t="s">
        <v>452</v>
      </c>
      <c r="B43" s="39"/>
      <c r="C43" s="218">
        <v>1069</v>
      </c>
      <c r="D43" s="259"/>
      <c r="E43" s="267">
        <v>893</v>
      </c>
      <c r="F43" s="77"/>
      <c r="G43" s="243">
        <v>1069</v>
      </c>
      <c r="H43" s="77"/>
      <c r="I43" s="267">
        <v>893</v>
      </c>
      <c r="J43" s="77"/>
      <c r="K43" s="267">
        <v>893</v>
      </c>
      <c r="M43" s="77"/>
    </row>
    <row r="44" spans="1:13" s="40" customFormat="1" x14ac:dyDescent="0.2">
      <c r="A44" s="41" t="s">
        <v>453</v>
      </c>
      <c r="B44" s="39"/>
      <c r="C44" s="218">
        <v>1</v>
      </c>
      <c r="D44" s="259"/>
      <c r="E44" s="267">
        <v>1</v>
      </c>
      <c r="F44" s="77"/>
      <c r="G44" s="243">
        <v>1</v>
      </c>
      <c r="H44" s="77"/>
      <c r="I44" s="267">
        <v>1</v>
      </c>
      <c r="J44" s="77"/>
      <c r="K44" s="267">
        <v>1</v>
      </c>
      <c r="M44" s="77"/>
    </row>
    <row r="45" spans="1:13" s="40" customFormat="1" x14ac:dyDescent="0.2">
      <c r="A45" s="41" t="s">
        <v>454</v>
      </c>
      <c r="B45" s="39"/>
      <c r="C45" s="218">
        <v>1351</v>
      </c>
      <c r="D45" s="259"/>
      <c r="E45" s="267">
        <v>1309</v>
      </c>
      <c r="F45" s="77"/>
      <c r="G45" s="243">
        <v>1351</v>
      </c>
      <c r="H45" s="77"/>
      <c r="I45" s="267">
        <v>1309</v>
      </c>
      <c r="J45" s="77"/>
      <c r="K45" s="267">
        <v>1309</v>
      </c>
      <c r="M45" s="77"/>
    </row>
    <row r="46" spans="1:13" s="40" customFormat="1" x14ac:dyDescent="0.2">
      <c r="A46" s="41" t="s">
        <v>428</v>
      </c>
      <c r="B46" s="39"/>
      <c r="C46" s="218">
        <v>330</v>
      </c>
      <c r="D46" s="259"/>
      <c r="E46" s="267">
        <v>296</v>
      </c>
      <c r="F46" s="77"/>
      <c r="G46" s="243">
        <v>330</v>
      </c>
      <c r="H46" s="77"/>
      <c r="I46" s="267">
        <v>296</v>
      </c>
      <c r="J46" s="77"/>
      <c r="K46" s="267">
        <v>296</v>
      </c>
      <c r="M46" s="77"/>
    </row>
    <row r="47" spans="1:13" s="40" customFormat="1" x14ac:dyDescent="0.2">
      <c r="A47" s="41" t="s">
        <v>455</v>
      </c>
      <c r="B47" s="39"/>
      <c r="C47" s="218">
        <v>276</v>
      </c>
      <c r="D47" s="259"/>
      <c r="E47" s="267">
        <v>129</v>
      </c>
      <c r="F47" s="77"/>
      <c r="G47" s="243">
        <v>276</v>
      </c>
      <c r="H47" s="77"/>
      <c r="I47" s="267">
        <v>129</v>
      </c>
      <c r="J47" s="77"/>
      <c r="K47" s="267">
        <v>129</v>
      </c>
      <c r="M47" s="77"/>
    </row>
    <row r="48" spans="1:13" s="37" customFormat="1" x14ac:dyDescent="0.2">
      <c r="A48" s="35" t="s">
        <v>456</v>
      </c>
      <c r="B48" s="36"/>
      <c r="C48" s="268"/>
      <c r="D48" s="271"/>
      <c r="E48" s="272"/>
      <c r="F48" s="89"/>
      <c r="G48" s="265"/>
      <c r="H48" s="89"/>
      <c r="I48" s="265"/>
      <c r="J48" s="89"/>
      <c r="K48" s="89"/>
    </row>
    <row r="49" spans="1:13" s="40" customFormat="1" x14ac:dyDescent="0.2">
      <c r="A49" s="41" t="s">
        <v>457</v>
      </c>
      <c r="B49" s="39"/>
      <c r="C49" s="218">
        <v>70280</v>
      </c>
      <c r="D49" s="259"/>
      <c r="E49" s="267">
        <v>71754</v>
      </c>
      <c r="F49" s="77"/>
      <c r="G49" s="243">
        <v>70780</v>
      </c>
      <c r="H49" s="77"/>
      <c r="I49" s="243">
        <v>72754</v>
      </c>
      <c r="J49" s="77"/>
      <c r="K49" s="76">
        <v>72754</v>
      </c>
      <c r="M49" s="77"/>
    </row>
    <row r="50" spans="1:13" s="40" customFormat="1" x14ac:dyDescent="0.2">
      <c r="A50" s="41" t="s">
        <v>458</v>
      </c>
      <c r="B50" s="39"/>
      <c r="C50" s="218">
        <v>20364</v>
      </c>
      <c r="D50" s="259"/>
      <c r="E50" s="267">
        <v>23272</v>
      </c>
      <c r="F50" s="77"/>
      <c r="G50" s="243">
        <v>19336</v>
      </c>
      <c r="H50" s="77"/>
      <c r="I50" s="243">
        <v>23572</v>
      </c>
      <c r="J50" s="77"/>
      <c r="K50" s="76">
        <v>23872</v>
      </c>
      <c r="M50" s="77"/>
    </row>
    <row r="51" spans="1:13" s="40" customFormat="1" x14ac:dyDescent="0.2">
      <c r="A51" s="41" t="s">
        <v>459</v>
      </c>
      <c r="B51" s="39"/>
      <c r="C51" s="218">
        <v>3500</v>
      </c>
      <c r="D51" s="259"/>
      <c r="E51" s="267">
        <v>3642</v>
      </c>
      <c r="F51" s="77"/>
      <c r="G51" s="243">
        <v>3800</v>
      </c>
      <c r="H51" s="77"/>
      <c r="I51" s="243">
        <v>3692</v>
      </c>
      <c r="J51" s="77"/>
      <c r="K51" s="76">
        <v>3742</v>
      </c>
      <c r="M51" s="77"/>
    </row>
    <row r="52" spans="1:13" s="40" customFormat="1" x14ac:dyDescent="0.2">
      <c r="A52" s="41" t="s">
        <v>460</v>
      </c>
      <c r="B52" s="39"/>
      <c r="C52" s="218">
        <v>8886</v>
      </c>
      <c r="D52" s="259"/>
      <c r="E52" s="267">
        <v>9757</v>
      </c>
      <c r="F52" s="77"/>
      <c r="G52" s="243">
        <v>8850</v>
      </c>
      <c r="H52" s="77"/>
      <c r="I52" s="243">
        <v>9857</v>
      </c>
      <c r="J52" s="77"/>
      <c r="K52" s="76">
        <v>9957</v>
      </c>
      <c r="M52" s="77"/>
    </row>
    <row r="53" spans="1:13" s="40" customFormat="1" x14ac:dyDescent="0.2">
      <c r="A53" s="41" t="s">
        <v>461</v>
      </c>
      <c r="B53" s="39"/>
      <c r="C53" s="218">
        <v>632</v>
      </c>
      <c r="D53" s="259"/>
      <c r="E53" s="267">
        <v>489</v>
      </c>
      <c r="F53" s="77"/>
      <c r="G53" s="243">
        <v>700</v>
      </c>
      <c r="H53" s="77"/>
      <c r="I53" s="243">
        <v>550</v>
      </c>
      <c r="J53" s="77"/>
      <c r="K53" s="76">
        <v>575</v>
      </c>
      <c r="M53" s="77"/>
    </row>
    <row r="54" spans="1:13" s="40" customFormat="1" x14ac:dyDescent="0.2">
      <c r="A54" s="41" t="s">
        <v>462</v>
      </c>
      <c r="B54" s="39"/>
      <c r="C54" s="218">
        <v>62</v>
      </c>
      <c r="D54" s="259"/>
      <c r="E54" s="267">
        <v>77</v>
      </c>
      <c r="F54" s="77"/>
      <c r="G54" s="243">
        <v>70</v>
      </c>
      <c r="H54" s="77"/>
      <c r="I54" s="243">
        <v>57</v>
      </c>
      <c r="J54" s="77"/>
      <c r="K54" s="76">
        <v>60</v>
      </c>
      <c r="M54" s="77"/>
    </row>
    <row r="55" spans="1:13" s="40" customFormat="1" x14ac:dyDescent="0.2">
      <c r="A55" s="41" t="s">
        <v>463</v>
      </c>
      <c r="B55" s="39"/>
      <c r="C55" s="218">
        <v>216</v>
      </c>
      <c r="D55" s="259"/>
      <c r="E55" s="267">
        <v>183</v>
      </c>
      <c r="F55" s="77"/>
      <c r="G55" s="243">
        <v>200</v>
      </c>
      <c r="H55" s="77"/>
      <c r="I55" s="243">
        <v>200</v>
      </c>
      <c r="J55" s="77"/>
      <c r="K55" s="76">
        <v>200</v>
      </c>
      <c r="M55" s="77"/>
    </row>
    <row r="56" spans="1:13" s="40" customFormat="1" x14ac:dyDescent="0.2">
      <c r="A56" s="90"/>
      <c r="B56" s="39"/>
    </row>
    <row r="57" spans="1:13" s="37" customFormat="1" x14ac:dyDescent="0.2">
      <c r="A57" s="35" t="s">
        <v>194</v>
      </c>
      <c r="B57" s="36"/>
    </row>
    <row r="58" spans="1:13" s="37" customFormat="1" x14ac:dyDescent="0.2">
      <c r="A58" s="35" t="s">
        <v>195</v>
      </c>
      <c r="B58" s="36"/>
    </row>
    <row r="59" spans="1:13" s="40" customFormat="1" x14ac:dyDescent="0.2">
      <c r="A59" s="38" t="s">
        <v>196</v>
      </c>
      <c r="B59" s="39"/>
    </row>
    <row r="60" spans="1:13" s="40" customFormat="1" x14ac:dyDescent="0.2">
      <c r="A60" s="41" t="s">
        <v>261</v>
      </c>
      <c r="B60" s="39"/>
      <c r="C60" s="76">
        <v>259</v>
      </c>
      <c r="E60" s="77">
        <v>241</v>
      </c>
      <c r="G60" s="77">
        <v>254</v>
      </c>
      <c r="I60" s="77">
        <v>235</v>
      </c>
      <c r="K60" s="77">
        <v>258</v>
      </c>
      <c r="M60" s="77"/>
    </row>
    <row r="61" spans="1:13" s="40" customFormat="1" x14ac:dyDescent="0.2">
      <c r="A61" s="41" t="s">
        <v>262</v>
      </c>
      <c r="B61" s="39"/>
      <c r="C61" s="76">
        <v>503</v>
      </c>
      <c r="E61" s="77">
        <v>497</v>
      </c>
      <c r="G61" s="77">
        <v>505</v>
      </c>
      <c r="I61" s="77">
        <v>484</v>
      </c>
      <c r="K61" s="77">
        <v>498</v>
      </c>
      <c r="M61" s="77"/>
    </row>
    <row r="62" spans="1:13" s="40" customFormat="1" x14ac:dyDescent="0.2">
      <c r="A62" s="41" t="s">
        <v>198</v>
      </c>
      <c r="B62" s="39"/>
      <c r="C62" s="76">
        <f>SUM(C60:C61)</f>
        <v>762</v>
      </c>
      <c r="E62" s="77">
        <f>SUM(E60:E61)</f>
        <v>738</v>
      </c>
      <c r="G62" s="77">
        <f>SUM(G60:G61)</f>
        <v>759</v>
      </c>
      <c r="I62" s="77">
        <f>SUM(I60:I61)</f>
        <v>719</v>
      </c>
      <c r="K62" s="77">
        <f>SUM(K60:K61)</f>
        <v>756</v>
      </c>
      <c r="M62" s="77"/>
    </row>
    <row r="63" spans="1:13" s="40" customFormat="1" x14ac:dyDescent="0.2">
      <c r="A63" s="38" t="s">
        <v>199</v>
      </c>
      <c r="B63" s="39"/>
      <c r="C63" s="63"/>
    </row>
    <row r="64" spans="1:13" s="40" customFormat="1" x14ac:dyDescent="0.2">
      <c r="A64" s="41" t="s">
        <v>420</v>
      </c>
      <c r="B64" s="39"/>
      <c r="C64" s="76">
        <v>116</v>
      </c>
      <c r="E64" s="77">
        <v>118</v>
      </c>
      <c r="G64" s="77">
        <v>115</v>
      </c>
      <c r="I64" s="77">
        <v>115</v>
      </c>
      <c r="K64" s="77">
        <v>118</v>
      </c>
      <c r="M64" s="262"/>
    </row>
    <row r="65" spans="1:16" s="40" customFormat="1" x14ac:dyDescent="0.2">
      <c r="A65" s="41" t="s">
        <v>429</v>
      </c>
      <c r="B65" s="39"/>
      <c r="C65" s="76">
        <v>214</v>
      </c>
      <c r="E65" s="77">
        <v>202</v>
      </c>
      <c r="G65" s="77">
        <v>203</v>
      </c>
      <c r="I65" s="77">
        <v>202</v>
      </c>
      <c r="K65" s="77">
        <v>210</v>
      </c>
      <c r="M65" s="262"/>
    </row>
    <row r="66" spans="1:16" s="40" customFormat="1" x14ac:dyDescent="0.2">
      <c r="A66" s="41" t="s">
        <v>434</v>
      </c>
      <c r="B66" s="39"/>
      <c r="C66" s="76">
        <v>255</v>
      </c>
      <c r="E66" s="77">
        <v>253</v>
      </c>
      <c r="G66" s="77">
        <v>259</v>
      </c>
      <c r="I66" s="77">
        <v>242</v>
      </c>
      <c r="K66" s="77">
        <v>246</v>
      </c>
      <c r="M66" s="262"/>
    </row>
    <row r="67" spans="1:16" s="40" customFormat="1" x14ac:dyDescent="0.2">
      <c r="A67" s="41" t="s">
        <v>464</v>
      </c>
      <c r="B67" s="39"/>
      <c r="C67" s="76">
        <v>78</v>
      </c>
      <c r="E67" s="77">
        <v>67</v>
      </c>
      <c r="G67" s="77">
        <v>81</v>
      </c>
      <c r="I67" s="77">
        <v>61</v>
      </c>
      <c r="K67" s="77">
        <v>81</v>
      </c>
      <c r="M67" s="262"/>
    </row>
    <row r="68" spans="1:16" s="40" customFormat="1" x14ac:dyDescent="0.2">
      <c r="A68" s="41" t="s">
        <v>450</v>
      </c>
      <c r="B68" s="39"/>
      <c r="C68" s="76">
        <v>16</v>
      </c>
      <c r="E68" s="77">
        <v>13</v>
      </c>
      <c r="G68" s="77">
        <v>14</v>
      </c>
      <c r="I68" s="77">
        <v>14</v>
      </c>
      <c r="K68" s="77">
        <v>14</v>
      </c>
      <c r="M68" s="262"/>
    </row>
    <row r="69" spans="1:16" s="40" customFormat="1" x14ac:dyDescent="0.2">
      <c r="A69" s="41" t="s">
        <v>465</v>
      </c>
      <c r="B69" s="39"/>
      <c r="C69" s="76">
        <v>6</v>
      </c>
      <c r="E69" s="77">
        <v>5</v>
      </c>
      <c r="G69" s="77">
        <v>7</v>
      </c>
      <c r="I69" s="77">
        <v>7</v>
      </c>
      <c r="K69" s="77">
        <v>8</v>
      </c>
      <c r="M69" s="262"/>
    </row>
    <row r="70" spans="1:16" s="40" customFormat="1" x14ac:dyDescent="0.2">
      <c r="A70" s="41" t="s">
        <v>456</v>
      </c>
      <c r="B70" s="39"/>
      <c r="C70" s="76">
        <v>77</v>
      </c>
      <c r="E70" s="77">
        <v>80</v>
      </c>
      <c r="G70" s="77">
        <v>80</v>
      </c>
      <c r="I70" s="77">
        <v>78</v>
      </c>
      <c r="K70" s="77">
        <v>79</v>
      </c>
      <c r="M70" s="262"/>
    </row>
    <row r="71" spans="1:16" s="40" customFormat="1" x14ac:dyDescent="0.2">
      <c r="A71" s="41" t="s">
        <v>198</v>
      </c>
      <c r="B71" s="39"/>
      <c r="C71" s="76">
        <f>SUM(C64:C70)</f>
        <v>762</v>
      </c>
      <c r="E71" s="77">
        <f>SUM(E64:E70)</f>
        <v>738</v>
      </c>
      <c r="G71" s="77">
        <f>SUM(G64:G70)</f>
        <v>759</v>
      </c>
      <c r="I71" s="77">
        <f>SUM(I64:I70)</f>
        <v>719</v>
      </c>
      <c r="K71" s="77">
        <f>SUM(K64:K70)</f>
        <v>756</v>
      </c>
      <c r="M71" s="262"/>
    </row>
    <row r="72" spans="1:16" s="37" customFormat="1" x14ac:dyDescent="0.2">
      <c r="A72" s="35"/>
      <c r="B72" s="36"/>
      <c r="M72" s="273"/>
    </row>
    <row r="73" spans="1:16" s="48" customFormat="1" x14ac:dyDescent="0.2">
      <c r="A73" s="46"/>
      <c r="B73" s="47"/>
    </row>
    <row r="74" spans="1:16" s="48" customFormat="1" x14ac:dyDescent="0.2">
      <c r="A74" s="49" t="s">
        <v>200</v>
      </c>
      <c r="B74" s="50"/>
      <c r="C74" s="51"/>
      <c r="D74" s="52"/>
      <c r="E74" s="53"/>
      <c r="F74" s="52"/>
      <c r="G74" s="53"/>
      <c r="H74" s="52"/>
      <c r="I74" s="53"/>
      <c r="J74" s="52"/>
      <c r="K74" s="53"/>
      <c r="L74" s="52"/>
      <c r="M74" s="51"/>
      <c r="N74" s="52"/>
    </row>
    <row r="75" spans="1:16" ht="27.75" customHeight="1" x14ac:dyDescent="0.2">
      <c r="A75" s="1745" t="s">
        <v>466</v>
      </c>
      <c r="B75" s="1746"/>
      <c r="C75" s="1747"/>
      <c r="D75" s="1746"/>
      <c r="E75" s="1747"/>
      <c r="F75" s="1746"/>
      <c r="G75" s="1747"/>
      <c r="H75" s="1746"/>
      <c r="I75" s="1747"/>
      <c r="J75" s="1746"/>
      <c r="K75" s="1747"/>
      <c r="L75" s="1746"/>
      <c r="M75" s="1747"/>
      <c r="N75" s="1746"/>
      <c r="O75" s="54"/>
      <c r="P75" s="54"/>
    </row>
    <row r="76" spans="1:16" x14ac:dyDescent="0.2">
      <c r="A76" s="274"/>
      <c r="B76" s="54"/>
      <c r="C76" s="54"/>
      <c r="D76" s="54"/>
      <c r="E76" s="54"/>
      <c r="F76" s="54"/>
      <c r="G76" s="54"/>
      <c r="H76" s="54"/>
      <c r="I76" s="54"/>
      <c r="J76" s="54"/>
      <c r="K76" s="54"/>
      <c r="L76" s="54"/>
      <c r="M76" s="54"/>
      <c r="N76" s="54"/>
      <c r="O76" s="54"/>
      <c r="P76" s="54"/>
    </row>
    <row r="77" spans="1:16" x14ac:dyDescent="0.2">
      <c r="A77" s="136"/>
      <c r="B77" s="54"/>
      <c r="C77" s="54"/>
      <c r="D77" s="54"/>
      <c r="E77" s="54"/>
      <c r="F77" s="54"/>
      <c r="G77" s="54"/>
      <c r="H77" s="54"/>
      <c r="I77" s="54"/>
      <c r="J77" s="54"/>
      <c r="K77" s="54"/>
      <c r="L77" s="54"/>
      <c r="M77" s="54"/>
      <c r="N77" s="54"/>
      <c r="O77" s="54"/>
      <c r="P77" s="54"/>
    </row>
    <row r="78" spans="1:16" x14ac:dyDescent="0.2">
      <c r="A78" s="275"/>
      <c r="B78" s="54"/>
      <c r="C78" s="56"/>
      <c r="D78" s="54"/>
      <c r="E78" s="56"/>
      <c r="F78" s="54"/>
      <c r="G78" s="56"/>
      <c r="H78" s="54"/>
      <c r="I78" s="56"/>
      <c r="J78" s="54"/>
      <c r="K78" s="56"/>
      <c r="L78" s="54"/>
      <c r="M78" s="56"/>
      <c r="N78" s="54"/>
      <c r="O78" s="54"/>
      <c r="P78" s="54"/>
    </row>
    <row r="79" spans="1:16" x14ac:dyDescent="0.2">
      <c r="A79" s="275"/>
      <c r="B79" s="54"/>
      <c r="C79" s="107"/>
      <c r="D79" s="54"/>
      <c r="E79" s="107"/>
      <c r="F79" s="54"/>
      <c r="G79" s="107"/>
      <c r="H79" s="54"/>
      <c r="I79" s="107"/>
      <c r="J79" s="54"/>
      <c r="K79" s="107"/>
      <c r="L79" s="54"/>
      <c r="M79" s="107"/>
      <c r="N79" s="54"/>
      <c r="O79" s="54"/>
      <c r="P79" s="54"/>
    </row>
    <row r="80" spans="1:16" x14ac:dyDescent="0.2">
      <c r="A80" s="55"/>
      <c r="B80" s="54"/>
      <c r="C80" s="107"/>
      <c r="D80" s="54"/>
      <c r="E80" s="107"/>
      <c r="F80" s="54"/>
      <c r="G80" s="107"/>
      <c r="H80" s="54"/>
      <c r="I80" s="107"/>
      <c r="J80" s="54"/>
      <c r="K80" s="107"/>
      <c r="L80" s="54"/>
      <c r="M80" s="107"/>
      <c r="N80" s="54"/>
      <c r="O80" s="54"/>
      <c r="P80" s="54"/>
    </row>
    <row r="81" spans="1:17" x14ac:dyDescent="0.2">
      <c r="A81" s="55"/>
      <c r="B81" s="54"/>
      <c r="C81" s="54"/>
      <c r="D81" s="54"/>
      <c r="E81" s="54"/>
      <c r="F81" s="54"/>
      <c r="G81" s="54"/>
      <c r="H81" s="54"/>
      <c r="I81" s="54"/>
      <c r="J81" s="54"/>
      <c r="K81" s="54"/>
      <c r="L81" s="54"/>
      <c r="M81" s="54"/>
      <c r="N81" s="54"/>
      <c r="O81" s="54"/>
      <c r="P81" s="54"/>
      <c r="Q81" s="57"/>
    </row>
    <row r="82" spans="1:17" x14ac:dyDescent="0.2">
      <c r="B82" s="25"/>
      <c r="C82" s="25"/>
      <c r="D82" s="25"/>
      <c r="E82" s="58"/>
      <c r="F82" s="58"/>
      <c r="G82" s="58"/>
      <c r="H82" s="58"/>
    </row>
    <row r="83" spans="1:17" x14ac:dyDescent="0.2">
      <c r="B83" s="25"/>
      <c r="C83" s="25"/>
      <c r="D83" s="25"/>
      <c r="E83" s="58"/>
      <c r="F83" s="58"/>
      <c r="G83" s="58"/>
      <c r="H83" s="58"/>
    </row>
    <row r="84" spans="1:17" x14ac:dyDescent="0.2">
      <c r="B84" s="25"/>
      <c r="C84" s="25"/>
      <c r="D84" s="25"/>
      <c r="E84" s="58"/>
      <c r="F84" s="58"/>
      <c r="G84" s="58"/>
      <c r="H84" s="58"/>
    </row>
    <row r="85" spans="1:17" x14ac:dyDescent="0.2">
      <c r="B85" s="25"/>
      <c r="C85" s="25"/>
      <c r="D85" s="25"/>
      <c r="E85" s="58"/>
      <c r="F85" s="58"/>
      <c r="G85" s="58"/>
      <c r="H85" s="58"/>
    </row>
    <row r="86" spans="1:17" x14ac:dyDescent="0.2">
      <c r="B86" s="25"/>
      <c r="C86" s="25"/>
      <c r="D86" s="25"/>
      <c r="E86" s="58"/>
      <c r="F86" s="58"/>
      <c r="G86" s="58"/>
      <c r="H86" s="58"/>
    </row>
    <row r="87" spans="1:17" x14ac:dyDescent="0.2">
      <c r="B87" s="25"/>
      <c r="C87" s="25"/>
      <c r="D87" s="25"/>
      <c r="E87" s="58"/>
      <c r="F87" s="58"/>
      <c r="G87" s="58"/>
      <c r="H87" s="58"/>
    </row>
    <row r="88" spans="1:17" x14ac:dyDescent="0.2">
      <c r="B88" s="25"/>
      <c r="C88" s="25"/>
      <c r="D88" s="25"/>
      <c r="E88" s="58"/>
      <c r="F88" s="58"/>
      <c r="G88" s="58"/>
      <c r="H88" s="58"/>
    </row>
    <row r="89" spans="1:17" x14ac:dyDescent="0.2">
      <c r="B89" s="25"/>
      <c r="C89" s="25"/>
      <c r="D89" s="25"/>
      <c r="E89" s="58"/>
      <c r="F89" s="58"/>
      <c r="G89" s="58"/>
      <c r="H89" s="58"/>
    </row>
    <row r="90" spans="1:17" x14ac:dyDescent="0.2">
      <c r="B90" s="25"/>
      <c r="C90" s="25"/>
      <c r="D90" s="25"/>
      <c r="E90" s="58"/>
      <c r="F90" s="58"/>
      <c r="G90" s="58"/>
      <c r="H90" s="58"/>
    </row>
    <row r="91" spans="1:17" x14ac:dyDescent="0.2">
      <c r="B91" s="25"/>
      <c r="C91" s="25"/>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row r="127" spans="2:2" x14ac:dyDescent="0.2">
      <c r="B127" s="25"/>
    </row>
  </sheetData>
  <mergeCells count="2">
    <mergeCell ref="A75:N75"/>
    <mergeCell ref="K2:K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 right="0" top="0" bottom="0" header="0" footer="0"/>
  <pageSetup scale="88" fitToHeight="98" pageOrder="overThenDown" orientation="portrait" blackAndWhite="1" r:id="rId1"/>
  <headerFooter alignWithMargins="0"/>
  <rowBreaks count="1" manualBreakCount="1">
    <brk id="54"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1">
    <pageSetUpPr fitToPage="1"/>
  </sheetPr>
  <dimension ref="A1:Q78"/>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572" customWidth="1"/>
    <col min="2" max="2" width="7.28515625" style="1573" customWidth="1"/>
    <col min="3" max="3" width="13.7109375" style="1601" customWidth="1"/>
    <col min="4" max="4" width="3" style="1601" customWidth="1"/>
    <col min="5" max="5" width="13.7109375" style="1600" customWidth="1"/>
    <col min="6" max="6" width="2.85546875" style="1602" customWidth="1"/>
    <col min="7" max="7" width="13.7109375" style="1600" hidden="1" customWidth="1"/>
    <col min="8" max="8" width="3.140625" style="1602" hidden="1" customWidth="1"/>
    <col min="9" max="9" width="13.7109375" style="1600" customWidth="1"/>
    <col min="10" max="10" width="3.140625" style="1602" bestFit="1" customWidth="1"/>
    <col min="11" max="11" width="13.7109375" style="1600" customWidth="1"/>
    <col min="12" max="12" width="3.140625" style="1602" bestFit="1" customWidth="1"/>
    <col min="13" max="13" width="13.7109375" style="1600" hidden="1" customWidth="1"/>
    <col min="14" max="14" width="3.140625" style="1602" hidden="1" customWidth="1"/>
    <col min="15" max="15" width="13.7109375" style="1600" customWidth="1"/>
    <col min="16" max="16" width="2.85546875" style="1602" customWidth="1"/>
    <col min="17" max="17" width="3.42578125" style="1576" customWidth="1"/>
    <col min="18" max="16384" width="9.140625" style="1576"/>
  </cols>
  <sheetData>
    <row r="1" spans="1:17" s="1551" customFormat="1" ht="15.75" x14ac:dyDescent="0.2">
      <c r="A1" s="1548" t="s">
        <v>174</v>
      </c>
      <c r="B1" s="1549">
        <v>2019</v>
      </c>
      <c r="C1" s="1550"/>
      <c r="E1" s="1550"/>
      <c r="G1" s="1552"/>
      <c r="I1" s="1552"/>
      <c r="J1" s="1553"/>
      <c r="K1" s="1552"/>
      <c r="L1" s="1553"/>
      <c r="M1" s="1552"/>
      <c r="N1" s="1553"/>
    </row>
    <row r="2" spans="1:17" s="1551" customFormat="1" ht="15.75" x14ac:dyDescent="0.25">
      <c r="A2" s="1548" t="s">
        <v>175</v>
      </c>
      <c r="B2" s="1554" t="s">
        <v>2985</v>
      </c>
      <c r="C2" s="1554" t="s">
        <v>77</v>
      </c>
      <c r="D2" s="1553"/>
      <c r="E2" s="1555"/>
      <c r="F2" s="1556"/>
      <c r="G2" s="1555"/>
      <c r="H2" s="1553"/>
      <c r="I2" s="1555"/>
      <c r="J2" s="1553"/>
      <c r="K2" s="1733" t="s">
        <v>171</v>
      </c>
      <c r="L2" s="1553"/>
      <c r="M2" s="1555"/>
      <c r="N2" s="1553"/>
    </row>
    <row r="3" spans="1:17" s="1551" customFormat="1" ht="15.75" x14ac:dyDescent="0.25">
      <c r="A3" s="1548" t="s">
        <v>177</v>
      </c>
      <c r="B3" s="1557" t="s">
        <v>818</v>
      </c>
      <c r="C3" s="1557" t="s">
        <v>833</v>
      </c>
      <c r="D3" s="1553"/>
      <c r="E3" s="1558"/>
      <c r="F3" s="1556"/>
      <c r="G3" s="1558"/>
      <c r="H3" s="1553"/>
      <c r="I3" s="1558"/>
      <c r="J3" s="1553"/>
      <c r="K3" s="1734"/>
      <c r="L3" s="1553"/>
      <c r="M3" s="1558"/>
      <c r="N3" s="1553"/>
    </row>
    <row r="4" spans="1:17" s="1551" customFormat="1" ht="15.75" x14ac:dyDescent="0.25">
      <c r="A4" s="1548" t="s">
        <v>180</v>
      </c>
      <c r="B4" s="1557" t="s">
        <v>834</v>
      </c>
      <c r="C4" s="1557" t="s">
        <v>23</v>
      </c>
      <c r="D4" s="1553"/>
      <c r="E4" s="1558"/>
      <c r="F4" s="1556"/>
      <c r="G4" s="1558"/>
      <c r="H4" s="1553"/>
      <c r="I4" s="1558"/>
      <c r="J4" s="1553"/>
      <c r="K4" s="1558"/>
      <c r="L4" s="1553"/>
      <c r="M4" s="1558"/>
      <c r="N4" s="1553"/>
    </row>
    <row r="5" spans="1:17" s="1551" customFormat="1" ht="15.75" x14ac:dyDescent="0.2">
      <c r="A5" s="1548" t="s">
        <v>183</v>
      </c>
      <c r="B5" s="1559" t="s">
        <v>3007</v>
      </c>
      <c r="C5" s="1559" t="s">
        <v>3008</v>
      </c>
      <c r="D5" s="1560"/>
      <c r="E5" s="1561"/>
      <c r="G5" s="1561"/>
      <c r="I5" s="1561"/>
      <c r="K5" s="1561"/>
      <c r="M5" s="1561"/>
    </row>
    <row r="6" spans="1:17" s="1551" customFormat="1" ht="15.75" x14ac:dyDescent="0.25">
      <c r="A6" s="1562" t="s">
        <v>186</v>
      </c>
      <c r="B6" s="1563">
        <v>4</v>
      </c>
      <c r="C6" s="1564"/>
      <c r="D6" s="1565"/>
      <c r="E6" s="1566"/>
      <c r="F6" s="1556"/>
      <c r="G6" s="1555"/>
      <c r="H6" s="1553"/>
      <c r="I6" s="1555"/>
      <c r="J6" s="1553"/>
      <c r="K6" s="1555"/>
      <c r="L6" s="1553"/>
      <c r="M6" s="1555"/>
      <c r="N6" s="1553"/>
    </row>
    <row r="7" spans="1:17" s="1571" customFormat="1" x14ac:dyDescent="0.2">
      <c r="A7" s="1567"/>
      <c r="B7" s="1568"/>
      <c r="C7" s="1569"/>
      <c r="D7" s="1570"/>
      <c r="E7" s="1569"/>
      <c r="F7" s="1570"/>
      <c r="G7" s="1569"/>
      <c r="H7" s="1570"/>
      <c r="I7" s="1569"/>
      <c r="J7" s="1570"/>
      <c r="K7" s="1569" t="s">
        <v>187</v>
      </c>
      <c r="L7" s="1570"/>
      <c r="M7" s="1569" t="s">
        <v>187</v>
      </c>
      <c r="N7" s="1570"/>
    </row>
    <row r="8" spans="1:17" x14ac:dyDescent="0.2">
      <c r="C8" s="1574" t="s">
        <v>188</v>
      </c>
      <c r="D8" s="1575" t="s">
        <v>189</v>
      </c>
      <c r="E8" s="1574" t="s">
        <v>188</v>
      </c>
      <c r="F8" s="1575" t="s">
        <v>189</v>
      </c>
      <c r="G8" s="1574" t="s">
        <v>190</v>
      </c>
      <c r="H8" s="1575" t="s">
        <v>189</v>
      </c>
      <c r="I8" s="1574" t="s">
        <v>191</v>
      </c>
      <c r="J8" s="1575" t="s">
        <v>189</v>
      </c>
      <c r="K8" s="1574" t="s">
        <v>192</v>
      </c>
      <c r="L8" s="1575" t="s">
        <v>189</v>
      </c>
      <c r="M8" s="1574" t="s">
        <v>192</v>
      </c>
      <c r="N8" s="1575" t="s">
        <v>189</v>
      </c>
      <c r="O8" s="1576"/>
      <c r="P8" s="1576"/>
    </row>
    <row r="9" spans="1:17" s="1571" customFormat="1" ht="14.25" x14ac:dyDescent="0.2">
      <c r="A9" s="1577"/>
      <c r="B9" s="1578"/>
      <c r="C9" s="1579" t="str">
        <f>"FY " &amp; FiscalYear - 3</f>
        <v>FY 2016</v>
      </c>
      <c r="D9" s="1580" t="s">
        <v>193</v>
      </c>
      <c r="E9" s="1579" t="str">
        <f>"FY " &amp; FiscalYear - 2</f>
        <v>FY 2017</v>
      </c>
      <c r="F9" s="1580" t="s">
        <v>193</v>
      </c>
      <c r="G9" s="1579" t="str">
        <f>"FY " &amp; FiscalYear - 1</f>
        <v>FY 2018</v>
      </c>
      <c r="H9" s="1580" t="s">
        <v>193</v>
      </c>
      <c r="I9" s="1581" t="str">
        <f>"FY " &amp; FiscalYear - 1</f>
        <v>FY 2018</v>
      </c>
      <c r="J9" s="1580" t="s">
        <v>193</v>
      </c>
      <c r="K9" s="1581" t="str">
        <f>"FY " &amp; FiscalYear</f>
        <v>FY 2019</v>
      </c>
      <c r="L9" s="1580" t="s">
        <v>193</v>
      </c>
      <c r="M9" s="1581" t="str">
        <f>"FY " &amp; FiscalYear + 1</f>
        <v>FY 2020</v>
      </c>
      <c r="N9" s="1580" t="s">
        <v>193</v>
      </c>
    </row>
    <row r="10" spans="1:17" s="1584" customFormat="1" x14ac:dyDescent="0.2">
      <c r="A10" s="1582" t="s">
        <v>194</v>
      </c>
      <c r="B10" s="1583"/>
    </row>
    <row r="11" spans="1:17" s="1584" customFormat="1" x14ac:dyDescent="0.2">
      <c r="A11" s="1582" t="s">
        <v>195</v>
      </c>
      <c r="B11" s="1583"/>
    </row>
    <row r="12" spans="1:17" s="1588" customFormat="1" x14ac:dyDescent="0.2">
      <c r="A12" s="1585" t="s">
        <v>262</v>
      </c>
      <c r="B12" s="1586"/>
      <c r="C12" s="1587">
        <v>70</v>
      </c>
      <c r="E12" s="1587">
        <v>72</v>
      </c>
      <c r="G12" s="1587">
        <v>69</v>
      </c>
      <c r="I12" s="1587">
        <v>71</v>
      </c>
      <c r="K12" s="1587">
        <v>73</v>
      </c>
      <c r="M12" s="1587"/>
    </row>
    <row r="13" spans="1:17" s="1591" customFormat="1" x14ac:dyDescent="0.2">
      <c r="A13" s="1589"/>
      <c r="B13" s="1590"/>
    </row>
    <row r="14" spans="1:17" s="1591" customFormat="1" x14ac:dyDescent="0.2">
      <c r="A14" s="1592" t="s">
        <v>200</v>
      </c>
      <c r="B14" s="1593"/>
      <c r="C14" s="1594"/>
      <c r="D14" s="1595"/>
      <c r="E14" s="1596"/>
      <c r="F14" s="1595"/>
      <c r="G14" s="1596"/>
      <c r="H14" s="1595"/>
      <c r="I14" s="1596"/>
      <c r="J14" s="1595"/>
      <c r="K14" s="1596"/>
      <c r="L14" s="1595"/>
      <c r="M14" s="1594"/>
      <c r="N14" s="1595"/>
    </row>
    <row r="15" spans="1:17" ht="27.75" customHeight="1" x14ac:dyDescent="0.2">
      <c r="A15" s="1821" t="s">
        <v>524</v>
      </c>
      <c r="B15" s="1736"/>
      <c r="C15" s="1737"/>
      <c r="D15" s="1736"/>
      <c r="E15" s="1737"/>
      <c r="F15" s="1736"/>
      <c r="G15" s="1737"/>
      <c r="H15" s="1736"/>
      <c r="I15" s="1737"/>
      <c r="J15" s="1736"/>
      <c r="K15" s="1737"/>
      <c r="L15" s="1736"/>
      <c r="M15" s="1737"/>
      <c r="N15" s="1736"/>
      <c r="O15" s="54"/>
      <c r="P15" s="54"/>
      <c r="Q15" s="951"/>
    </row>
    <row r="16" spans="1:17" ht="27.75" customHeight="1" x14ac:dyDescent="0.2">
      <c r="A16" s="1820"/>
      <c r="B16" s="1736"/>
      <c r="C16" s="1737"/>
      <c r="D16" s="1736"/>
      <c r="E16" s="1737"/>
      <c r="F16" s="1736"/>
      <c r="G16" s="1737"/>
      <c r="H16" s="1736"/>
      <c r="I16" s="1737"/>
      <c r="J16" s="1736"/>
      <c r="K16" s="1737"/>
      <c r="L16" s="1736"/>
      <c r="M16" s="1737"/>
      <c r="N16" s="1736"/>
      <c r="O16" s="54"/>
      <c r="P16" s="54"/>
    </row>
    <row r="17" spans="1:17" ht="27.75" customHeight="1" x14ac:dyDescent="0.2">
      <c r="A17" s="1820"/>
      <c r="B17" s="1736"/>
      <c r="C17" s="1737"/>
      <c r="D17" s="1736"/>
      <c r="E17" s="1737"/>
      <c r="F17" s="1736"/>
      <c r="G17" s="1737"/>
      <c r="H17" s="1736"/>
      <c r="I17" s="1737"/>
      <c r="J17" s="1736"/>
      <c r="K17" s="1737"/>
      <c r="L17" s="1736"/>
      <c r="M17" s="1737"/>
      <c r="N17" s="1736"/>
      <c r="O17" s="54"/>
      <c r="P17" s="54"/>
    </row>
    <row r="18" spans="1:17" ht="27.75" customHeight="1" x14ac:dyDescent="0.2">
      <c r="A18" s="1820"/>
      <c r="B18" s="1736"/>
      <c r="C18" s="1737"/>
      <c r="D18" s="1736"/>
      <c r="E18" s="1737"/>
      <c r="F18" s="1736"/>
      <c r="G18" s="1737"/>
      <c r="H18" s="1736"/>
      <c r="I18" s="1737"/>
      <c r="J18" s="1736"/>
      <c r="K18" s="1737"/>
      <c r="L18" s="1736"/>
      <c r="M18" s="1737"/>
      <c r="N18" s="1736"/>
      <c r="O18" s="54"/>
      <c r="P18" s="54"/>
    </row>
    <row r="19" spans="1:17" ht="27.75" customHeight="1" x14ac:dyDescent="0.2">
      <c r="A19" s="1820"/>
      <c r="B19" s="1736"/>
      <c r="C19" s="1737"/>
      <c r="D19" s="1736"/>
      <c r="E19" s="1737"/>
      <c r="F19" s="1736"/>
      <c r="G19" s="1737"/>
      <c r="H19" s="1736"/>
      <c r="I19" s="1737"/>
      <c r="J19" s="1736"/>
      <c r="K19" s="1737"/>
      <c r="L19" s="1736"/>
      <c r="M19" s="1737"/>
      <c r="N19" s="1736"/>
      <c r="O19" s="54"/>
      <c r="P19" s="54"/>
    </row>
    <row r="20" spans="1:17" ht="27.75" customHeight="1" x14ac:dyDescent="0.2">
      <c r="A20" s="1820"/>
      <c r="B20" s="1736"/>
      <c r="C20" s="1737"/>
      <c r="D20" s="1736"/>
      <c r="E20" s="1737"/>
      <c r="F20" s="1736"/>
      <c r="G20" s="1737"/>
      <c r="H20" s="1736"/>
      <c r="I20" s="1737"/>
      <c r="J20" s="1736"/>
      <c r="K20" s="1737"/>
      <c r="L20" s="1736"/>
      <c r="M20" s="1737"/>
      <c r="N20" s="1736"/>
      <c r="O20" s="54"/>
      <c r="P20" s="54"/>
    </row>
    <row r="21" spans="1:17" ht="27.75" customHeight="1" x14ac:dyDescent="0.2">
      <c r="A21" s="1820"/>
      <c r="B21" s="1736"/>
      <c r="C21" s="1737"/>
      <c r="D21" s="1736"/>
      <c r="E21" s="1737"/>
      <c r="F21" s="1736"/>
      <c r="G21" s="1737"/>
      <c r="H21" s="1736"/>
      <c r="I21" s="1737"/>
      <c r="J21" s="1736"/>
      <c r="K21" s="1737"/>
      <c r="L21" s="1736"/>
      <c r="M21" s="1737"/>
      <c r="N21" s="1736"/>
      <c r="O21" s="54"/>
      <c r="P21" s="54"/>
    </row>
    <row r="22" spans="1:17" ht="27.75" customHeight="1" x14ac:dyDescent="0.2">
      <c r="A22" s="1820"/>
      <c r="B22" s="1736"/>
      <c r="C22" s="1737"/>
      <c r="D22" s="1736"/>
      <c r="E22" s="1737"/>
      <c r="F22" s="1736"/>
      <c r="G22" s="1737"/>
      <c r="H22" s="1736"/>
      <c r="I22" s="1737"/>
      <c r="J22" s="1736"/>
      <c r="K22" s="1737"/>
      <c r="L22" s="1736"/>
      <c r="M22" s="1737"/>
      <c r="N22" s="1736"/>
      <c r="O22" s="54"/>
      <c r="P22" s="54"/>
    </row>
    <row r="23" spans="1:17" ht="27.75" customHeight="1" x14ac:dyDescent="0.2">
      <c r="A23" s="1820"/>
      <c r="B23" s="1736"/>
      <c r="C23" s="1737"/>
      <c r="D23" s="1736"/>
      <c r="E23" s="1737"/>
      <c r="F23" s="1736"/>
      <c r="G23" s="1737"/>
      <c r="H23" s="1736"/>
      <c r="I23" s="1737"/>
      <c r="J23" s="1736"/>
      <c r="K23" s="1737"/>
      <c r="L23" s="1736"/>
      <c r="M23" s="1737"/>
      <c r="N23" s="1736"/>
      <c r="O23" s="54"/>
      <c r="P23" s="54"/>
    </row>
    <row r="24" spans="1:17" ht="27.75" customHeight="1" x14ac:dyDescent="0.2">
      <c r="A24" s="1820"/>
      <c r="B24" s="1736"/>
      <c r="C24" s="1737"/>
      <c r="D24" s="1736"/>
      <c r="E24" s="1737"/>
      <c r="F24" s="1736"/>
      <c r="G24" s="1737"/>
      <c r="H24" s="1736"/>
      <c r="I24" s="1737"/>
      <c r="J24" s="1736"/>
      <c r="K24" s="1737"/>
      <c r="L24" s="1736"/>
      <c r="M24" s="1737"/>
      <c r="N24" s="1736"/>
      <c r="O24" s="54"/>
      <c r="P24" s="54"/>
    </row>
    <row r="25" spans="1:17" x14ac:dyDescent="0.2">
      <c r="A25" s="1597"/>
      <c r="B25" s="54"/>
      <c r="C25" s="56"/>
      <c r="D25" s="54"/>
      <c r="E25" s="56"/>
      <c r="F25" s="54"/>
      <c r="G25" s="56"/>
      <c r="H25" s="54"/>
      <c r="I25" s="56"/>
      <c r="J25" s="54"/>
      <c r="K25" s="56"/>
      <c r="L25" s="54"/>
      <c r="M25" s="56"/>
      <c r="N25" s="54"/>
      <c r="O25" s="54"/>
      <c r="P25" s="54"/>
    </row>
    <row r="26" spans="1:17" x14ac:dyDescent="0.2">
      <c r="A26" s="1597"/>
      <c r="B26" s="54"/>
      <c r="C26" s="54"/>
      <c r="D26" s="54"/>
      <c r="E26" s="54"/>
      <c r="F26" s="54"/>
      <c r="G26" s="54"/>
      <c r="H26" s="54"/>
      <c r="I26" s="54"/>
      <c r="J26" s="54"/>
      <c r="K26" s="54"/>
      <c r="L26" s="54"/>
      <c r="M26" s="54"/>
      <c r="N26" s="54"/>
      <c r="O26" s="54"/>
      <c r="P26" s="54"/>
    </row>
    <row r="27" spans="1:17" x14ac:dyDescent="0.2">
      <c r="A27" s="1597"/>
      <c r="B27" s="54"/>
      <c r="C27" s="56"/>
      <c r="D27" s="54"/>
      <c r="E27" s="56"/>
      <c r="F27" s="54"/>
      <c r="G27" s="56"/>
      <c r="H27" s="54"/>
      <c r="I27" s="56"/>
      <c r="J27" s="54"/>
      <c r="K27" s="56"/>
      <c r="L27" s="54"/>
      <c r="M27" s="56"/>
      <c r="N27" s="54"/>
      <c r="O27" s="54"/>
      <c r="P27" s="54"/>
    </row>
    <row r="28" spans="1:17" x14ac:dyDescent="0.2">
      <c r="A28" s="1597"/>
      <c r="B28" s="54"/>
      <c r="C28" s="54"/>
      <c r="D28" s="54"/>
      <c r="E28" s="54"/>
      <c r="F28" s="54"/>
      <c r="G28" s="54"/>
      <c r="H28" s="54"/>
      <c r="I28" s="54"/>
      <c r="J28" s="54"/>
      <c r="K28" s="54"/>
      <c r="L28" s="54"/>
      <c r="M28" s="54"/>
      <c r="N28" s="54"/>
      <c r="O28" s="54"/>
      <c r="P28" s="54"/>
    </row>
    <row r="29" spans="1:17" x14ac:dyDescent="0.2">
      <c r="A29" s="1597"/>
      <c r="B29" s="54"/>
      <c r="C29" s="56"/>
      <c r="D29" s="54"/>
      <c r="E29" s="56"/>
      <c r="F29" s="54"/>
      <c r="G29" s="56"/>
      <c r="H29" s="54"/>
      <c r="I29" s="56"/>
      <c r="J29" s="54"/>
      <c r="K29" s="56"/>
      <c r="L29" s="54"/>
      <c r="M29" s="56"/>
      <c r="N29" s="54"/>
      <c r="O29" s="54"/>
      <c r="P29" s="54"/>
    </row>
    <row r="30" spans="1:17" x14ac:dyDescent="0.2">
      <c r="A30" s="1597"/>
      <c r="B30" s="54"/>
      <c r="C30" s="54"/>
      <c r="D30" s="54"/>
      <c r="E30" s="54"/>
      <c r="F30" s="54"/>
      <c r="G30" s="54"/>
      <c r="H30" s="54"/>
      <c r="I30" s="54"/>
      <c r="J30" s="54"/>
      <c r="K30" s="54"/>
      <c r="L30" s="54"/>
      <c r="M30" s="54"/>
      <c r="N30" s="54"/>
      <c r="O30" s="54"/>
      <c r="P30" s="54"/>
    </row>
    <row r="31" spans="1:17" x14ac:dyDescent="0.2">
      <c r="A31" s="1597"/>
      <c r="B31" s="54"/>
      <c r="C31" s="54"/>
      <c r="D31" s="54"/>
      <c r="E31" s="54"/>
      <c r="F31" s="54"/>
      <c r="G31" s="54"/>
      <c r="H31" s="54"/>
      <c r="I31" s="54"/>
      <c r="J31" s="54"/>
      <c r="K31" s="54"/>
      <c r="L31" s="54"/>
      <c r="M31" s="54"/>
      <c r="N31" s="54"/>
      <c r="O31" s="54"/>
      <c r="P31" s="54"/>
    </row>
    <row r="32" spans="1:17" x14ac:dyDescent="0.2">
      <c r="A32" s="1597"/>
      <c r="B32" s="54"/>
      <c r="C32" s="54"/>
      <c r="D32" s="54"/>
      <c r="E32" s="54"/>
      <c r="F32" s="54"/>
      <c r="G32" s="54"/>
      <c r="H32" s="54"/>
      <c r="I32" s="54"/>
      <c r="J32" s="54"/>
      <c r="K32" s="54"/>
      <c r="L32" s="54"/>
      <c r="M32" s="54"/>
      <c r="N32" s="54"/>
      <c r="O32" s="54"/>
      <c r="P32" s="54"/>
      <c r="Q32" s="1598"/>
    </row>
    <row r="33" spans="2:8" x14ac:dyDescent="0.2">
      <c r="B33" s="1572"/>
      <c r="C33" s="1572"/>
      <c r="D33" s="1572"/>
      <c r="E33" s="1599"/>
      <c r="F33" s="1599"/>
      <c r="G33" s="1599"/>
      <c r="H33" s="1599"/>
    </row>
    <row r="34" spans="2:8" x14ac:dyDescent="0.2">
      <c r="B34" s="1572"/>
      <c r="C34" s="1572"/>
      <c r="D34" s="1572"/>
      <c r="E34" s="1599"/>
      <c r="F34" s="1599"/>
      <c r="G34" s="1599"/>
      <c r="H34" s="1599"/>
    </row>
    <row r="35" spans="2:8" x14ac:dyDescent="0.2">
      <c r="B35" s="1572"/>
      <c r="C35" s="1572"/>
      <c r="D35" s="1572"/>
      <c r="E35" s="1599"/>
      <c r="F35" s="1599"/>
      <c r="G35" s="1599"/>
      <c r="H35" s="1599"/>
    </row>
    <row r="36" spans="2:8" x14ac:dyDescent="0.2">
      <c r="B36" s="1572"/>
      <c r="C36" s="1572"/>
      <c r="D36" s="1572"/>
      <c r="E36" s="1599"/>
      <c r="F36" s="1599"/>
      <c r="G36" s="1599"/>
      <c r="H36" s="1599"/>
    </row>
    <row r="37" spans="2:8" x14ac:dyDescent="0.2">
      <c r="B37" s="1572"/>
      <c r="C37" s="1572"/>
      <c r="D37" s="1572"/>
      <c r="E37" s="1599"/>
      <c r="F37" s="1599"/>
      <c r="G37" s="1599"/>
      <c r="H37" s="1599"/>
    </row>
    <row r="38" spans="2:8" x14ac:dyDescent="0.2">
      <c r="B38" s="1572"/>
      <c r="C38" s="1572"/>
      <c r="D38" s="1572"/>
      <c r="E38" s="1599"/>
      <c r="F38" s="1599"/>
      <c r="G38" s="1599"/>
      <c r="H38" s="1599"/>
    </row>
    <row r="39" spans="2:8" x14ac:dyDescent="0.2">
      <c r="B39" s="1572"/>
      <c r="C39" s="1572"/>
      <c r="D39" s="1572"/>
      <c r="E39" s="1599"/>
      <c r="F39" s="1599"/>
      <c r="G39" s="1599"/>
      <c r="H39" s="1599"/>
    </row>
    <row r="40" spans="2:8" x14ac:dyDescent="0.2">
      <c r="B40" s="1572"/>
      <c r="C40" s="1572"/>
      <c r="D40" s="1572"/>
      <c r="E40" s="1599"/>
      <c r="F40" s="1599"/>
      <c r="G40" s="1599"/>
      <c r="H40" s="1599"/>
    </row>
    <row r="41" spans="2:8" x14ac:dyDescent="0.2">
      <c r="B41" s="1572"/>
      <c r="C41" s="1572"/>
      <c r="D41" s="1572"/>
      <c r="E41" s="1599"/>
      <c r="F41" s="1599"/>
      <c r="G41" s="1599"/>
      <c r="H41" s="1599"/>
    </row>
    <row r="42" spans="2:8" x14ac:dyDescent="0.2">
      <c r="B42" s="1572"/>
      <c r="C42" s="1572"/>
      <c r="D42" s="1572"/>
      <c r="E42" s="1599"/>
      <c r="F42" s="1599"/>
      <c r="G42" s="1599"/>
      <c r="H42" s="1599"/>
    </row>
    <row r="43" spans="2:8" x14ac:dyDescent="0.2">
      <c r="B43" s="1572"/>
      <c r="C43" s="1572"/>
      <c r="D43" s="1572"/>
      <c r="E43" s="1599"/>
      <c r="F43" s="1599"/>
      <c r="G43" s="1599"/>
      <c r="H43" s="1599"/>
    </row>
    <row r="44" spans="2:8" x14ac:dyDescent="0.2">
      <c r="B44" s="1572"/>
      <c r="C44" s="1572"/>
      <c r="D44" s="1572"/>
      <c r="E44" s="1599"/>
      <c r="F44" s="1599"/>
      <c r="G44" s="1599"/>
      <c r="H44" s="1599"/>
    </row>
    <row r="45" spans="2:8" x14ac:dyDescent="0.2">
      <c r="B45" s="1572"/>
      <c r="C45" s="1572"/>
      <c r="D45" s="1572"/>
      <c r="E45" s="1599"/>
      <c r="F45" s="1599"/>
      <c r="G45" s="1599"/>
      <c r="H45" s="1599"/>
    </row>
    <row r="46" spans="2:8" x14ac:dyDescent="0.2">
      <c r="B46" s="1572"/>
      <c r="C46" s="1572"/>
      <c r="D46" s="1572"/>
      <c r="E46" s="1599"/>
      <c r="F46" s="1599"/>
      <c r="G46" s="1599"/>
      <c r="H46" s="1599"/>
    </row>
    <row r="47" spans="2:8" x14ac:dyDescent="0.2">
      <c r="B47" s="1572"/>
      <c r="C47" s="1572"/>
      <c r="D47" s="1572"/>
      <c r="E47" s="1599"/>
      <c r="F47" s="1599"/>
      <c r="G47" s="1599"/>
      <c r="H47" s="1599"/>
    </row>
    <row r="48" spans="2:8" x14ac:dyDescent="0.2">
      <c r="B48" s="1572"/>
      <c r="C48" s="1572"/>
      <c r="D48" s="1572"/>
      <c r="E48" s="1599"/>
      <c r="F48" s="1599"/>
      <c r="G48" s="1599"/>
      <c r="H48" s="1599"/>
    </row>
    <row r="49" spans="2:8" x14ac:dyDescent="0.2">
      <c r="B49" s="1572"/>
      <c r="C49" s="1572"/>
      <c r="D49" s="1572"/>
      <c r="E49" s="1599"/>
      <c r="F49" s="1599"/>
      <c r="G49" s="1599"/>
      <c r="H49" s="1599"/>
    </row>
    <row r="50" spans="2:8" x14ac:dyDescent="0.2">
      <c r="B50" s="1572"/>
      <c r="C50" s="1572"/>
      <c r="D50" s="1572"/>
      <c r="E50" s="1599"/>
      <c r="F50" s="1599"/>
      <c r="G50" s="1599"/>
      <c r="H50" s="1599"/>
    </row>
    <row r="51" spans="2:8" x14ac:dyDescent="0.2">
      <c r="B51" s="1572"/>
      <c r="C51" s="1572"/>
      <c r="D51" s="1572"/>
      <c r="E51" s="1599"/>
      <c r="F51" s="1599"/>
      <c r="G51" s="1599"/>
      <c r="H51" s="1599"/>
    </row>
    <row r="52" spans="2:8" x14ac:dyDescent="0.2">
      <c r="B52" s="1572"/>
      <c r="C52" s="1572"/>
      <c r="D52" s="1572"/>
      <c r="E52" s="1599"/>
      <c r="F52" s="1599"/>
      <c r="G52" s="1599"/>
      <c r="H52" s="1599"/>
    </row>
    <row r="53" spans="2:8" x14ac:dyDescent="0.2">
      <c r="B53" s="1572"/>
      <c r="C53" s="1572"/>
      <c r="D53" s="1572"/>
      <c r="E53" s="1599"/>
      <c r="F53" s="1599"/>
      <c r="G53" s="1599"/>
      <c r="H53" s="1599"/>
    </row>
    <row r="54" spans="2:8" x14ac:dyDescent="0.2">
      <c r="B54" s="1572"/>
      <c r="C54" s="1572"/>
      <c r="D54" s="1572"/>
      <c r="E54" s="1599"/>
      <c r="F54" s="1599"/>
      <c r="G54" s="1599"/>
      <c r="H54" s="1599"/>
    </row>
    <row r="55" spans="2:8" x14ac:dyDescent="0.2">
      <c r="B55" s="1572"/>
      <c r="C55" s="1572"/>
      <c r="D55" s="1572"/>
      <c r="E55" s="1599"/>
      <c r="F55" s="1599"/>
      <c r="G55" s="1599"/>
      <c r="H55" s="1599"/>
    </row>
    <row r="56" spans="2:8" x14ac:dyDescent="0.2">
      <c r="B56" s="1572"/>
      <c r="C56" s="1572"/>
      <c r="D56" s="1572"/>
      <c r="E56" s="1599"/>
      <c r="F56" s="1599"/>
      <c r="G56" s="1599"/>
      <c r="H56" s="1599"/>
    </row>
    <row r="57" spans="2:8" x14ac:dyDescent="0.2">
      <c r="B57" s="1572"/>
      <c r="C57" s="1572"/>
      <c r="D57" s="1572"/>
      <c r="E57" s="1599"/>
      <c r="F57" s="1599"/>
      <c r="G57" s="1599"/>
      <c r="H57" s="1599"/>
    </row>
    <row r="58" spans="2:8" x14ac:dyDescent="0.2">
      <c r="B58" s="1572"/>
      <c r="C58" s="1572"/>
      <c r="D58" s="1572"/>
      <c r="E58" s="1599"/>
      <c r="F58" s="1599"/>
      <c r="G58" s="1599"/>
      <c r="H58" s="1599"/>
    </row>
    <row r="59" spans="2:8" x14ac:dyDescent="0.2">
      <c r="B59" s="1572"/>
      <c r="C59" s="1572"/>
      <c r="D59" s="1572"/>
      <c r="E59" s="1599"/>
      <c r="F59" s="1599"/>
      <c r="G59" s="1599"/>
      <c r="H59" s="1599"/>
    </row>
    <row r="60" spans="2:8" x14ac:dyDescent="0.2">
      <c r="B60" s="1572"/>
      <c r="C60" s="1572"/>
      <c r="D60" s="1572"/>
      <c r="E60" s="1599"/>
      <c r="F60" s="1599"/>
      <c r="G60" s="1599"/>
      <c r="H60" s="1599"/>
    </row>
    <row r="61" spans="2:8" x14ac:dyDescent="0.2">
      <c r="B61" s="1572"/>
      <c r="C61" s="1572"/>
      <c r="D61" s="1572"/>
      <c r="E61" s="1599"/>
      <c r="F61" s="1599"/>
      <c r="G61" s="1599"/>
      <c r="H61" s="1599"/>
    </row>
    <row r="62" spans="2:8" x14ac:dyDescent="0.2">
      <c r="B62" s="1572"/>
    </row>
    <row r="63" spans="2:8" x14ac:dyDescent="0.2">
      <c r="B63" s="1572"/>
    </row>
    <row r="64" spans="2:8" x14ac:dyDescent="0.2">
      <c r="B64" s="1572"/>
    </row>
    <row r="65" spans="2:2" x14ac:dyDescent="0.2">
      <c r="B65" s="1572"/>
    </row>
    <row r="66" spans="2:2" x14ac:dyDescent="0.2">
      <c r="B66" s="1572"/>
    </row>
    <row r="67" spans="2:2" x14ac:dyDescent="0.2">
      <c r="B67" s="1572"/>
    </row>
    <row r="68" spans="2:2" x14ac:dyDescent="0.2">
      <c r="B68" s="1572"/>
    </row>
    <row r="69" spans="2:2" x14ac:dyDescent="0.2">
      <c r="B69" s="1572"/>
    </row>
    <row r="70" spans="2:2" x14ac:dyDescent="0.2">
      <c r="B70" s="1572"/>
    </row>
    <row r="71" spans="2:2" x14ac:dyDescent="0.2">
      <c r="B71" s="1572"/>
    </row>
    <row r="72" spans="2:2" x14ac:dyDescent="0.2">
      <c r="B72" s="1572"/>
    </row>
    <row r="73" spans="2:2" x14ac:dyDescent="0.2">
      <c r="B73" s="1572"/>
    </row>
    <row r="74" spans="2:2" x14ac:dyDescent="0.2">
      <c r="B74" s="1572"/>
    </row>
    <row r="75" spans="2:2" x14ac:dyDescent="0.2">
      <c r="B75" s="1572"/>
    </row>
    <row r="76" spans="2:2" x14ac:dyDescent="0.2">
      <c r="B76" s="1572"/>
    </row>
    <row r="77" spans="2:2" x14ac:dyDescent="0.2">
      <c r="B77" s="1572"/>
    </row>
    <row r="78" spans="2:2" x14ac:dyDescent="0.2">
      <c r="B78" s="1572"/>
    </row>
  </sheetData>
  <mergeCells count="11">
    <mergeCell ref="A21:N21"/>
    <mergeCell ref="A22:N22"/>
    <mergeCell ref="A23:N23"/>
    <mergeCell ref="A24:N24"/>
    <mergeCell ref="K2:K3"/>
    <mergeCell ref="A15:N15"/>
    <mergeCell ref="A16:N16"/>
    <mergeCell ref="A17:N17"/>
    <mergeCell ref="A18:N18"/>
    <mergeCell ref="A19:N19"/>
    <mergeCell ref="A20:N20"/>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74" fitToHeight="99" pageOrder="overThenDown" orientation="portrait" blackAndWhite="1"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2">
    <pageSetUpPr fitToPage="1"/>
  </sheetPr>
  <dimension ref="A1:Q7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7" s="4" customFormat="1" ht="15.75" x14ac:dyDescent="0.2">
      <c r="A1" s="1" t="s">
        <v>174</v>
      </c>
      <c r="B1" s="2">
        <v>2019</v>
      </c>
      <c r="C1" s="3"/>
      <c r="E1" s="3"/>
      <c r="G1" s="5"/>
      <c r="I1" s="5"/>
      <c r="J1" s="6"/>
      <c r="K1" s="5"/>
      <c r="L1" s="6"/>
      <c r="M1" s="5"/>
      <c r="N1" s="6"/>
    </row>
    <row r="2" spans="1:17" s="4" customFormat="1" ht="15.75" x14ac:dyDescent="0.25">
      <c r="A2" s="1" t="s">
        <v>175</v>
      </c>
      <c r="B2" s="7" t="s">
        <v>2985</v>
      </c>
      <c r="C2" s="7" t="s">
        <v>77</v>
      </c>
      <c r="D2" s="6"/>
      <c r="E2" s="8"/>
      <c r="F2" s="9"/>
      <c r="G2" s="8"/>
      <c r="H2" s="6"/>
      <c r="I2" s="8"/>
      <c r="J2" s="6"/>
      <c r="K2" s="1733" t="s">
        <v>171</v>
      </c>
      <c r="L2" s="6"/>
      <c r="M2" s="8"/>
      <c r="N2" s="6"/>
    </row>
    <row r="3" spans="1:17" s="4" customFormat="1" ht="15.75" x14ac:dyDescent="0.25">
      <c r="A3" s="1" t="s">
        <v>177</v>
      </c>
      <c r="B3" s="10" t="s">
        <v>1766</v>
      </c>
      <c r="C3" s="10" t="s">
        <v>2441</v>
      </c>
      <c r="D3" s="6"/>
      <c r="E3" s="11"/>
      <c r="F3" s="9"/>
      <c r="G3" s="11"/>
      <c r="H3" s="6"/>
      <c r="I3" s="11"/>
      <c r="J3" s="6"/>
      <c r="K3" s="1734"/>
      <c r="L3" s="6"/>
      <c r="M3" s="11"/>
      <c r="N3" s="6"/>
    </row>
    <row r="4" spans="1:17" s="4" customFormat="1" ht="15.75" x14ac:dyDescent="0.25">
      <c r="A4" s="1" t="s">
        <v>180</v>
      </c>
      <c r="B4" s="10" t="s">
        <v>1496</v>
      </c>
      <c r="C4" s="10" t="s">
        <v>36</v>
      </c>
      <c r="D4" s="6"/>
      <c r="E4" s="11"/>
      <c r="F4" s="9"/>
      <c r="G4" s="11"/>
      <c r="H4" s="6"/>
      <c r="I4" s="11"/>
      <c r="J4" s="6"/>
      <c r="K4" s="11"/>
      <c r="L4" s="6"/>
      <c r="M4" s="11"/>
      <c r="N4" s="6"/>
    </row>
    <row r="5" spans="1:17" s="4" customFormat="1" ht="15.75" x14ac:dyDescent="0.2">
      <c r="A5" s="1" t="s">
        <v>183</v>
      </c>
      <c r="B5" s="12" t="s">
        <v>3009</v>
      </c>
      <c r="C5" s="12" t="s">
        <v>3010</v>
      </c>
      <c r="D5" s="13"/>
      <c r="E5" s="14"/>
      <c r="G5" s="14"/>
      <c r="I5" s="14"/>
      <c r="K5" s="14"/>
      <c r="M5" s="14"/>
    </row>
    <row r="6" spans="1:17" s="4" customFormat="1" ht="15.75" x14ac:dyDescent="0.25">
      <c r="A6" s="15" t="s">
        <v>186</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187</v>
      </c>
      <c r="L7" s="23"/>
      <c r="M7" s="22" t="s">
        <v>187</v>
      </c>
      <c r="N7" s="23"/>
    </row>
    <row r="8" spans="1:17"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7"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7" s="37" customFormat="1" x14ac:dyDescent="0.2">
      <c r="A10" s="35" t="s">
        <v>194</v>
      </c>
      <c r="B10" s="36"/>
    </row>
    <row r="11" spans="1:17" s="37" customFormat="1" x14ac:dyDescent="0.2">
      <c r="A11" s="35" t="s">
        <v>195</v>
      </c>
      <c r="B11" s="36"/>
      <c r="C11" s="89"/>
      <c r="D11" s="89"/>
      <c r="E11" s="89"/>
      <c r="F11" s="89"/>
      <c r="G11" s="89"/>
      <c r="H11" s="89"/>
      <c r="I11" s="89"/>
      <c r="J11" s="89"/>
      <c r="K11" s="89"/>
    </row>
    <row r="12" spans="1:17" s="40" customFormat="1" x14ac:dyDescent="0.2">
      <c r="A12" s="41" t="s">
        <v>262</v>
      </c>
      <c r="B12" s="39"/>
      <c r="C12" s="1603">
        <v>13</v>
      </c>
      <c r="D12" s="77"/>
      <c r="E12" s="1603">
        <v>14</v>
      </c>
      <c r="F12" s="77"/>
      <c r="G12" s="1603">
        <v>14</v>
      </c>
      <c r="H12" s="77"/>
      <c r="I12" s="1603">
        <v>17</v>
      </c>
      <c r="J12" s="77"/>
      <c r="K12" s="1603">
        <v>17</v>
      </c>
      <c r="M12" s="1603"/>
    </row>
    <row r="13" spans="1:17" s="48" customFormat="1" x14ac:dyDescent="0.2">
      <c r="A13" s="46"/>
      <c r="B13" s="47"/>
    </row>
    <row r="14" spans="1:17" s="48" customFormat="1" x14ac:dyDescent="0.2">
      <c r="A14" s="49" t="s">
        <v>200</v>
      </c>
      <c r="B14" s="50"/>
      <c r="C14" s="51"/>
      <c r="D14" s="52"/>
      <c r="E14" s="53"/>
      <c r="F14" s="52"/>
      <c r="G14" s="53"/>
      <c r="H14" s="52"/>
      <c r="I14" s="53"/>
      <c r="J14" s="52"/>
      <c r="K14" s="53"/>
      <c r="L14" s="52"/>
      <c r="M14" s="51"/>
      <c r="N14" s="52"/>
    </row>
    <row r="15" spans="1:17" ht="27.75" customHeight="1" x14ac:dyDescent="0.2">
      <c r="A15" s="1738" t="s">
        <v>2513</v>
      </c>
      <c r="B15" s="1736"/>
      <c r="C15" s="1737"/>
      <c r="D15" s="1736"/>
      <c r="E15" s="1737"/>
      <c r="F15" s="1736"/>
      <c r="G15" s="1737"/>
      <c r="H15" s="1736"/>
      <c r="I15" s="1737"/>
      <c r="J15" s="1736"/>
      <c r="K15" s="1737"/>
      <c r="L15" s="1736"/>
      <c r="M15" s="1737"/>
      <c r="N15" s="1736"/>
      <c r="O15" s="54"/>
      <c r="P15" s="54"/>
      <c r="Q15" s="951"/>
    </row>
    <row r="16" spans="1:17" ht="27.75" customHeight="1" x14ac:dyDescent="0.2">
      <c r="A16" s="1735"/>
      <c r="B16" s="1736"/>
      <c r="C16" s="1737"/>
      <c r="D16" s="1736"/>
      <c r="E16" s="1737"/>
      <c r="F16" s="1736"/>
      <c r="G16" s="1737"/>
      <c r="H16" s="1736"/>
      <c r="I16" s="1737"/>
      <c r="J16" s="1736"/>
      <c r="K16" s="1737"/>
      <c r="L16" s="1736"/>
      <c r="M16" s="1737"/>
      <c r="N16" s="1736"/>
      <c r="O16" s="54"/>
      <c r="P16" s="54"/>
    </row>
    <row r="17" spans="1:17" ht="27.75" customHeight="1" x14ac:dyDescent="0.2">
      <c r="A17" s="1735"/>
      <c r="B17" s="1736"/>
      <c r="C17" s="1737"/>
      <c r="D17" s="1736"/>
      <c r="E17" s="1737"/>
      <c r="F17" s="1736"/>
      <c r="G17" s="1737"/>
      <c r="H17" s="1736"/>
      <c r="I17" s="1737"/>
      <c r="J17" s="1736"/>
      <c r="K17" s="1737"/>
      <c r="L17" s="1736"/>
      <c r="M17" s="1737"/>
      <c r="N17" s="1736"/>
      <c r="O17" s="54"/>
      <c r="P17" s="54"/>
    </row>
    <row r="18" spans="1:17" ht="27.75" customHeight="1" x14ac:dyDescent="0.2">
      <c r="A18" s="1735"/>
      <c r="B18" s="1736"/>
      <c r="C18" s="1737"/>
      <c r="D18" s="1736"/>
      <c r="E18" s="1737"/>
      <c r="F18" s="1736"/>
      <c r="G18" s="1737"/>
      <c r="H18" s="1736"/>
      <c r="I18" s="1737"/>
      <c r="J18" s="1736"/>
      <c r="K18" s="1737"/>
      <c r="L18" s="1736"/>
      <c r="M18" s="1737"/>
      <c r="N18" s="1736"/>
      <c r="O18" s="54"/>
      <c r="P18" s="54"/>
    </row>
    <row r="19" spans="1:17" ht="27.75" customHeight="1" x14ac:dyDescent="0.2">
      <c r="A19" s="1735"/>
      <c r="B19" s="1736"/>
      <c r="C19" s="1737"/>
      <c r="D19" s="1736"/>
      <c r="E19" s="1737"/>
      <c r="F19" s="1736"/>
      <c r="G19" s="1737"/>
      <c r="H19" s="1736"/>
      <c r="I19" s="1737"/>
      <c r="J19" s="1736"/>
      <c r="K19" s="1737"/>
      <c r="L19" s="1736"/>
      <c r="M19" s="1737"/>
      <c r="N19" s="1736"/>
      <c r="O19" s="54"/>
      <c r="P19" s="54"/>
    </row>
    <row r="20" spans="1:17" ht="27.75" customHeight="1" x14ac:dyDescent="0.2">
      <c r="A20" s="1735"/>
      <c r="B20" s="1736"/>
      <c r="C20" s="1737"/>
      <c r="D20" s="1736"/>
      <c r="E20" s="1737"/>
      <c r="F20" s="1736"/>
      <c r="G20" s="1737"/>
      <c r="H20" s="1736"/>
      <c r="I20" s="1737"/>
      <c r="J20" s="1736"/>
      <c r="K20" s="1737"/>
      <c r="L20" s="1736"/>
      <c r="M20" s="1737"/>
      <c r="N20" s="1736"/>
      <c r="O20" s="54"/>
      <c r="P20" s="54"/>
    </row>
    <row r="21" spans="1:17" ht="27.75" customHeight="1" x14ac:dyDescent="0.2">
      <c r="A21" s="1735"/>
      <c r="B21" s="1736"/>
      <c r="C21" s="1737"/>
      <c r="D21" s="1736"/>
      <c r="E21" s="1737"/>
      <c r="F21" s="1736"/>
      <c r="G21" s="1737"/>
      <c r="H21" s="1736"/>
      <c r="I21" s="1737"/>
      <c r="J21" s="1736"/>
      <c r="K21" s="1737"/>
      <c r="L21" s="1736"/>
      <c r="M21" s="1737"/>
      <c r="N21" s="1736"/>
      <c r="O21" s="54"/>
      <c r="P21" s="54"/>
    </row>
    <row r="22" spans="1:17" ht="27.75" customHeight="1" x14ac:dyDescent="0.2">
      <c r="A22" s="1735"/>
      <c r="B22" s="1736"/>
      <c r="C22" s="1737"/>
      <c r="D22" s="1736"/>
      <c r="E22" s="1737"/>
      <c r="F22" s="1736"/>
      <c r="G22" s="1737"/>
      <c r="H22" s="1736"/>
      <c r="I22" s="1737"/>
      <c r="J22" s="1736"/>
      <c r="K22" s="1737"/>
      <c r="L22" s="1736"/>
      <c r="M22" s="1737"/>
      <c r="N22" s="1736"/>
      <c r="O22" s="54"/>
      <c r="P22" s="54"/>
    </row>
    <row r="23" spans="1:17" ht="27.75" customHeight="1" x14ac:dyDescent="0.2">
      <c r="A23" s="1735"/>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x14ac:dyDescent="0.2">
      <c r="A25" s="55"/>
      <c r="B25" s="54"/>
      <c r="C25" s="56"/>
      <c r="D25" s="54"/>
      <c r="E25" s="56"/>
      <c r="F25" s="54"/>
      <c r="G25" s="56"/>
      <c r="H25" s="54"/>
      <c r="I25" s="56"/>
      <c r="J25" s="54"/>
      <c r="K25" s="56"/>
      <c r="L25" s="54"/>
      <c r="M25" s="56"/>
      <c r="N25" s="54"/>
      <c r="O25" s="54"/>
      <c r="P25" s="54"/>
    </row>
    <row r="26" spans="1:17" x14ac:dyDescent="0.2">
      <c r="A26" s="55"/>
      <c r="B26" s="54"/>
      <c r="C26" s="54"/>
      <c r="D26" s="54"/>
      <c r="E26" s="54"/>
      <c r="F26" s="54"/>
      <c r="G26" s="54"/>
      <c r="H26" s="54"/>
      <c r="I26" s="54"/>
      <c r="J26" s="54"/>
      <c r="K26" s="54"/>
      <c r="L26" s="54"/>
      <c r="M26" s="54"/>
      <c r="N26" s="54"/>
      <c r="O26" s="54"/>
      <c r="P26" s="54"/>
    </row>
    <row r="27" spans="1:17" x14ac:dyDescent="0.2">
      <c r="A27" s="55"/>
      <c r="B27" s="54"/>
      <c r="C27" s="56"/>
      <c r="D27" s="54"/>
      <c r="E27" s="56"/>
      <c r="F27" s="54"/>
      <c r="G27" s="56"/>
      <c r="H27" s="54"/>
      <c r="I27" s="56"/>
      <c r="J27" s="54"/>
      <c r="K27" s="56"/>
      <c r="L27" s="54"/>
      <c r="M27" s="56"/>
      <c r="N27" s="54"/>
      <c r="O27" s="54"/>
      <c r="P27" s="54"/>
    </row>
    <row r="28" spans="1:17" x14ac:dyDescent="0.2">
      <c r="A28" s="55"/>
      <c r="B28" s="54"/>
      <c r="C28" s="54"/>
      <c r="D28" s="54"/>
      <c r="E28" s="54"/>
      <c r="F28" s="54"/>
      <c r="G28" s="54"/>
      <c r="H28" s="54"/>
      <c r="I28" s="54"/>
      <c r="J28" s="54"/>
      <c r="K28" s="54"/>
      <c r="L28" s="54"/>
      <c r="M28" s="54"/>
      <c r="N28" s="54"/>
      <c r="O28" s="54"/>
      <c r="P28" s="54"/>
    </row>
    <row r="29" spans="1:17" x14ac:dyDescent="0.2">
      <c r="A29" s="55"/>
      <c r="B29" s="54"/>
      <c r="C29" s="56"/>
      <c r="D29" s="54"/>
      <c r="E29" s="56"/>
      <c r="F29" s="54"/>
      <c r="G29" s="56"/>
      <c r="H29" s="54"/>
      <c r="I29" s="56"/>
      <c r="J29" s="54"/>
      <c r="K29" s="56"/>
      <c r="L29" s="54"/>
      <c r="M29" s="56"/>
      <c r="N29" s="54"/>
      <c r="O29" s="54"/>
      <c r="P29" s="54"/>
    </row>
    <row r="30" spans="1:17" x14ac:dyDescent="0.2">
      <c r="A30" s="55"/>
      <c r="B30" s="54"/>
      <c r="C30" s="54"/>
      <c r="D30" s="54"/>
      <c r="E30" s="54"/>
      <c r="F30" s="54"/>
      <c r="G30" s="54"/>
      <c r="H30" s="54"/>
      <c r="I30" s="54"/>
      <c r="J30" s="54"/>
      <c r="K30" s="54"/>
      <c r="L30" s="54"/>
      <c r="M30" s="54"/>
      <c r="N30" s="54"/>
      <c r="O30" s="54"/>
      <c r="P30" s="54"/>
    </row>
    <row r="31" spans="1:17" x14ac:dyDescent="0.2">
      <c r="A31" s="55"/>
      <c r="B31" s="54"/>
      <c r="C31" s="54"/>
      <c r="D31" s="54"/>
      <c r="E31" s="54"/>
      <c r="F31" s="54"/>
      <c r="G31" s="54"/>
      <c r="H31" s="54"/>
      <c r="I31" s="54"/>
      <c r="J31" s="54"/>
      <c r="K31" s="54"/>
      <c r="L31" s="54"/>
      <c r="M31" s="54"/>
      <c r="N31" s="54"/>
      <c r="O31" s="54"/>
      <c r="P31" s="54"/>
    </row>
    <row r="32" spans="1:17" x14ac:dyDescent="0.2">
      <c r="A32" s="55"/>
      <c r="B32" s="54"/>
      <c r="C32" s="54"/>
      <c r="D32" s="54"/>
      <c r="E32" s="54"/>
      <c r="F32" s="54"/>
      <c r="G32" s="54"/>
      <c r="H32" s="54"/>
      <c r="I32" s="54"/>
      <c r="J32" s="54"/>
      <c r="K32" s="54"/>
      <c r="L32" s="54"/>
      <c r="M32" s="54"/>
      <c r="N32" s="54"/>
      <c r="O32" s="54"/>
      <c r="P32" s="54"/>
      <c r="Q32" s="57"/>
    </row>
    <row r="33" spans="2:8" x14ac:dyDescent="0.2">
      <c r="B33" s="25"/>
      <c r="C33" s="25"/>
      <c r="D33" s="25"/>
      <c r="E33" s="58"/>
      <c r="F33" s="58"/>
      <c r="G33" s="58"/>
      <c r="H33" s="58"/>
    </row>
    <row r="34" spans="2:8" x14ac:dyDescent="0.2">
      <c r="B34" s="25"/>
      <c r="C34" s="25"/>
      <c r="D34" s="25"/>
      <c r="E34" s="58"/>
      <c r="F34" s="58"/>
      <c r="G34" s="58"/>
      <c r="H34" s="58"/>
    </row>
    <row r="35" spans="2:8" x14ac:dyDescent="0.2">
      <c r="B35" s="25"/>
      <c r="C35" s="25"/>
      <c r="D35" s="25"/>
      <c r="E35" s="58"/>
      <c r="F35" s="58"/>
      <c r="G35" s="58"/>
      <c r="H35" s="58"/>
    </row>
    <row r="36" spans="2:8" x14ac:dyDescent="0.2">
      <c r="B36" s="25"/>
      <c r="C36" s="25"/>
      <c r="D36" s="25"/>
      <c r="E36" s="58"/>
      <c r="F36" s="58"/>
      <c r="G36" s="58"/>
      <c r="H36" s="58"/>
    </row>
    <row r="37" spans="2:8" x14ac:dyDescent="0.2">
      <c r="B37" s="25"/>
      <c r="C37" s="25"/>
      <c r="D37" s="25"/>
      <c r="E37" s="58"/>
      <c r="F37" s="58"/>
      <c r="G37" s="58"/>
      <c r="H37" s="58"/>
    </row>
    <row r="38" spans="2:8" x14ac:dyDescent="0.2">
      <c r="B38" s="25"/>
      <c r="C38" s="25"/>
      <c r="D38" s="25"/>
      <c r="E38" s="58"/>
      <c r="F38" s="58"/>
      <c r="G38" s="58"/>
      <c r="H38" s="58"/>
    </row>
    <row r="39" spans="2:8" x14ac:dyDescent="0.2">
      <c r="B39" s="25"/>
      <c r="C39" s="25"/>
      <c r="D39" s="25"/>
      <c r="E39" s="58"/>
      <c r="F39" s="58"/>
      <c r="G39" s="58"/>
      <c r="H39" s="58"/>
    </row>
    <row r="40" spans="2:8" x14ac:dyDescent="0.2">
      <c r="B40" s="25"/>
      <c r="C40" s="25"/>
      <c r="D40" s="25"/>
      <c r="E40" s="58"/>
      <c r="F40" s="58"/>
      <c r="G40" s="58"/>
      <c r="H40" s="58"/>
    </row>
    <row r="41" spans="2:8" x14ac:dyDescent="0.2">
      <c r="B41" s="25"/>
      <c r="C41" s="25"/>
      <c r="D41" s="25"/>
      <c r="E41" s="58"/>
      <c r="F41" s="58"/>
      <c r="G41" s="58"/>
      <c r="H41" s="58"/>
    </row>
    <row r="42" spans="2:8" x14ac:dyDescent="0.2">
      <c r="B42" s="25"/>
      <c r="C42" s="25"/>
      <c r="D42" s="25"/>
      <c r="E42" s="58"/>
      <c r="F42" s="58"/>
      <c r="G42" s="58"/>
      <c r="H42" s="58"/>
    </row>
    <row r="43" spans="2:8" x14ac:dyDescent="0.2">
      <c r="B43" s="25"/>
      <c r="C43" s="25"/>
      <c r="D43" s="25"/>
      <c r="E43" s="58"/>
      <c r="F43" s="58"/>
      <c r="G43" s="58"/>
      <c r="H43" s="58"/>
    </row>
    <row r="44" spans="2:8" x14ac:dyDescent="0.2">
      <c r="B44" s="25"/>
      <c r="C44" s="25"/>
      <c r="D44" s="25"/>
      <c r="E44" s="58"/>
      <c r="F44" s="58"/>
      <c r="G44" s="58"/>
      <c r="H44" s="58"/>
    </row>
    <row r="45" spans="2:8" x14ac:dyDescent="0.2">
      <c r="B45" s="25"/>
      <c r="C45" s="25"/>
      <c r="D45" s="25"/>
      <c r="E45" s="58"/>
      <c r="F45" s="58"/>
      <c r="G45" s="58"/>
      <c r="H45" s="58"/>
    </row>
    <row r="46" spans="2:8" x14ac:dyDescent="0.2">
      <c r="B46" s="25"/>
      <c r="C46" s="25"/>
      <c r="D46" s="25"/>
      <c r="E46" s="58"/>
      <c r="F46" s="58"/>
      <c r="G46" s="58"/>
      <c r="H46" s="58"/>
    </row>
    <row r="47" spans="2:8" x14ac:dyDescent="0.2">
      <c r="B47" s="25"/>
      <c r="C47" s="25"/>
      <c r="D47" s="25"/>
      <c r="E47" s="58"/>
      <c r="F47" s="58"/>
      <c r="G47" s="58"/>
      <c r="H47" s="58"/>
    </row>
    <row r="48" spans="2:8"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row>
    <row r="63" spans="2:8" x14ac:dyDescent="0.2">
      <c r="B63" s="25"/>
    </row>
    <row r="64" spans="2:8" x14ac:dyDescent="0.2">
      <c r="B64" s="25"/>
    </row>
    <row r="65" spans="2:2" x14ac:dyDescent="0.2">
      <c r="B65" s="25"/>
    </row>
    <row r="66" spans="2:2" x14ac:dyDescent="0.2">
      <c r="B66" s="25"/>
    </row>
    <row r="67" spans="2:2" x14ac:dyDescent="0.2">
      <c r="B67" s="25"/>
    </row>
    <row r="68" spans="2:2" x14ac:dyDescent="0.2">
      <c r="B68" s="25"/>
    </row>
    <row r="69" spans="2:2" x14ac:dyDescent="0.2">
      <c r="B69" s="25"/>
    </row>
    <row r="70" spans="2:2" x14ac:dyDescent="0.2">
      <c r="B70" s="25"/>
    </row>
    <row r="71" spans="2:2" x14ac:dyDescent="0.2">
      <c r="B71" s="25"/>
    </row>
    <row r="72" spans="2:2" x14ac:dyDescent="0.2">
      <c r="B72" s="25"/>
    </row>
    <row r="73" spans="2:2" x14ac:dyDescent="0.2">
      <c r="B73" s="25"/>
    </row>
    <row r="74" spans="2:2" x14ac:dyDescent="0.2">
      <c r="B74" s="25"/>
    </row>
    <row r="75" spans="2:2" x14ac:dyDescent="0.2">
      <c r="B75" s="25"/>
    </row>
    <row r="76" spans="2:2" x14ac:dyDescent="0.2">
      <c r="B76" s="25"/>
    </row>
    <row r="77" spans="2:2" x14ac:dyDescent="0.2">
      <c r="B77" s="25"/>
    </row>
    <row r="78" spans="2:2" x14ac:dyDescent="0.2">
      <c r="B78" s="25"/>
    </row>
  </sheetData>
  <mergeCells count="11">
    <mergeCell ref="A21:N21"/>
    <mergeCell ref="A22:N22"/>
    <mergeCell ref="A23:N23"/>
    <mergeCell ref="A24:N24"/>
    <mergeCell ref="K2:K3"/>
    <mergeCell ref="A15:N15"/>
    <mergeCell ref="A16:N16"/>
    <mergeCell ref="A17:N17"/>
    <mergeCell ref="A18:N18"/>
    <mergeCell ref="A19:N19"/>
    <mergeCell ref="A20:N20"/>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fitToHeight="99" pageOrder="overThenDown" orientation="landscape" blackAndWhite="1"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3">
    <pageSetUpPr fitToPage="1"/>
  </sheetPr>
  <dimension ref="A1:Q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customWidth="1"/>
    <col min="11" max="11" width="13.7109375" style="59" customWidth="1"/>
    <col min="12" max="12" width="3.140625" style="60" customWidth="1"/>
    <col min="13" max="13" width="13.7109375" style="59" hidden="1" customWidth="1"/>
    <col min="14" max="14" width="4.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2985</v>
      </c>
      <c r="C2" s="7" t="s">
        <v>77</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1496</v>
      </c>
      <c r="C4" s="10" t="s">
        <v>36</v>
      </c>
      <c r="D4" s="6"/>
      <c r="E4" s="11"/>
      <c r="F4" s="9"/>
      <c r="G4" s="11"/>
      <c r="H4" s="6"/>
      <c r="I4" s="11"/>
      <c r="J4" s="6"/>
      <c r="K4" s="11"/>
      <c r="L4" s="6"/>
      <c r="M4" s="11"/>
      <c r="N4" s="6"/>
    </row>
    <row r="5" spans="1:16" s="4" customFormat="1" ht="15.75" x14ac:dyDescent="0.2">
      <c r="A5" s="1" t="s">
        <v>183</v>
      </c>
      <c r="B5" s="12" t="s">
        <v>3011</v>
      </c>
      <c r="C5" s="12" t="s">
        <v>80</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3012</v>
      </c>
      <c r="B11" s="36"/>
    </row>
    <row r="12" spans="1:16" s="40" customFormat="1" x14ac:dyDescent="0.2">
      <c r="A12" s="41" t="s">
        <v>3013</v>
      </c>
      <c r="B12" s="39"/>
    </row>
    <row r="13" spans="1:16" s="40" customFormat="1" x14ac:dyDescent="0.2">
      <c r="A13" s="90" t="s">
        <v>3014</v>
      </c>
      <c r="B13" s="39"/>
      <c r="M13" s="892"/>
    </row>
    <row r="14" spans="1:16" s="40" customFormat="1" x14ac:dyDescent="0.2">
      <c r="A14" s="131" t="s">
        <v>3015</v>
      </c>
      <c r="B14" s="39"/>
      <c r="C14" s="901">
        <v>5381</v>
      </c>
      <c r="D14" s="892"/>
      <c r="E14" s="901">
        <v>5211</v>
      </c>
      <c r="F14" s="892"/>
      <c r="G14" s="901">
        <v>5400</v>
      </c>
      <c r="H14" s="892"/>
      <c r="I14" s="901">
        <v>5315</v>
      </c>
      <c r="J14" s="892"/>
      <c r="K14" s="901">
        <v>5315</v>
      </c>
      <c r="M14" s="892"/>
    </row>
    <row r="15" spans="1:16" s="40" customFormat="1" x14ac:dyDescent="0.2">
      <c r="A15" s="131" t="s">
        <v>3016</v>
      </c>
      <c r="B15" s="39"/>
      <c r="C15" s="1604">
        <v>921</v>
      </c>
      <c r="D15" s="892"/>
      <c r="E15" s="1604">
        <v>899</v>
      </c>
      <c r="F15" s="892"/>
      <c r="G15" s="956">
        <v>922</v>
      </c>
      <c r="H15" s="892"/>
      <c r="I15" s="1604">
        <v>888</v>
      </c>
      <c r="J15" s="892"/>
      <c r="K15" s="1604">
        <v>888</v>
      </c>
      <c r="M15" s="892"/>
    </row>
    <row r="16" spans="1:16" s="77" customFormat="1" x14ac:dyDescent="0.2">
      <c r="A16" s="90" t="s">
        <v>3017</v>
      </c>
      <c r="B16" s="39"/>
      <c r="M16" s="892"/>
    </row>
    <row r="17" spans="1:17" s="77" customFormat="1" x14ac:dyDescent="0.2">
      <c r="A17" s="131" t="s">
        <v>3015</v>
      </c>
      <c r="B17" s="464"/>
      <c r="C17" s="76">
        <v>3210</v>
      </c>
      <c r="E17" s="76">
        <v>3251</v>
      </c>
      <c r="G17" s="76">
        <v>3210</v>
      </c>
      <c r="I17" s="76">
        <v>3249</v>
      </c>
      <c r="K17" s="76">
        <v>3249</v>
      </c>
    </row>
    <row r="18" spans="1:17" s="77" customFormat="1" x14ac:dyDescent="0.2">
      <c r="A18" s="131" t="s">
        <v>3016</v>
      </c>
      <c r="B18" s="464"/>
      <c r="C18" s="76">
        <v>5164</v>
      </c>
      <c r="E18" s="76">
        <v>5096</v>
      </c>
      <c r="G18" s="76">
        <v>5175</v>
      </c>
      <c r="I18" s="76">
        <v>5095</v>
      </c>
      <c r="K18" s="76">
        <v>5095</v>
      </c>
    </row>
    <row r="19" spans="1:17" s="77" customFormat="1" x14ac:dyDescent="0.2">
      <c r="A19" s="131"/>
      <c r="B19" s="464"/>
      <c r="M19" s="892"/>
    </row>
    <row r="20" spans="1:17" s="70" customFormat="1" x14ac:dyDescent="0.2">
      <c r="A20" s="982" t="s">
        <v>3018</v>
      </c>
      <c r="B20" s="983"/>
      <c r="C20" s="71">
        <v>51</v>
      </c>
      <c r="E20" s="71">
        <v>53</v>
      </c>
      <c r="G20" s="71">
        <v>53</v>
      </c>
      <c r="I20" s="71">
        <v>51</v>
      </c>
      <c r="K20" s="71">
        <v>53</v>
      </c>
    </row>
    <row r="21" spans="1:17" s="40" customFormat="1" x14ac:dyDescent="0.2">
      <c r="A21" s="41"/>
      <c r="B21" s="39"/>
    </row>
    <row r="22" spans="1:17" s="37" customFormat="1" x14ac:dyDescent="0.2">
      <c r="A22" s="35" t="s">
        <v>194</v>
      </c>
      <c r="B22" s="36"/>
    </row>
    <row r="23" spans="1:17" s="37" customFormat="1" x14ac:dyDescent="0.2">
      <c r="A23" s="35" t="s">
        <v>195</v>
      </c>
      <c r="B23" s="36"/>
    </row>
    <row r="24" spans="1:17" s="40" customFormat="1" x14ac:dyDescent="0.2">
      <c r="A24" s="41" t="s">
        <v>262</v>
      </c>
      <c r="B24" s="39"/>
      <c r="C24" s="62">
        <v>79</v>
      </c>
      <c r="D24" s="42"/>
      <c r="E24" s="62">
        <v>82</v>
      </c>
      <c r="F24" s="77"/>
      <c r="G24" s="62">
        <v>82</v>
      </c>
      <c r="H24" s="77"/>
      <c r="I24" s="62">
        <v>83</v>
      </c>
      <c r="J24" s="77"/>
      <c r="K24" s="62">
        <v>86</v>
      </c>
      <c r="M24" s="42"/>
    </row>
    <row r="25" spans="1:17" s="37" customFormat="1" x14ac:dyDescent="0.2">
      <c r="A25" s="35"/>
      <c r="B25" s="36"/>
    </row>
    <row r="26" spans="1:17" s="48" customFormat="1" x14ac:dyDescent="0.2">
      <c r="A26" s="46"/>
      <c r="B26" s="47"/>
    </row>
    <row r="27" spans="1:17" s="48" customFormat="1" x14ac:dyDescent="0.2">
      <c r="A27" s="49" t="s">
        <v>200</v>
      </c>
      <c r="B27" s="50"/>
      <c r="C27" s="51"/>
      <c r="D27" s="52"/>
      <c r="E27" s="53"/>
      <c r="F27" s="52"/>
      <c r="G27" s="53"/>
      <c r="H27" s="52"/>
      <c r="I27" s="53"/>
      <c r="J27" s="52"/>
      <c r="K27" s="53"/>
      <c r="L27" s="52"/>
      <c r="M27" s="51"/>
      <c r="N27" s="52"/>
    </row>
    <row r="28" spans="1:17" ht="27.75" customHeight="1" x14ac:dyDescent="0.2">
      <c r="A28" s="1738" t="s">
        <v>2513</v>
      </c>
      <c r="B28" s="1736"/>
      <c r="C28" s="1737"/>
      <c r="D28" s="1736"/>
      <c r="E28" s="1737"/>
      <c r="F28" s="1736"/>
      <c r="G28" s="1737"/>
      <c r="H28" s="1736"/>
      <c r="I28" s="1737"/>
      <c r="J28" s="1736"/>
      <c r="K28" s="1737"/>
      <c r="L28" s="1736"/>
      <c r="M28" s="1737"/>
      <c r="N28" s="1736"/>
      <c r="O28" s="54"/>
      <c r="P28" s="54"/>
      <c r="Q28" s="951"/>
    </row>
    <row r="29" spans="1:17" ht="27.75" customHeight="1" x14ac:dyDescent="0.2">
      <c r="A29" s="1738" t="s">
        <v>3019</v>
      </c>
      <c r="B29" s="1736"/>
      <c r="C29" s="1737"/>
      <c r="D29" s="1736"/>
      <c r="E29" s="1737"/>
      <c r="F29" s="1736"/>
      <c r="G29" s="1737"/>
      <c r="H29" s="1736"/>
      <c r="I29" s="1737"/>
      <c r="J29" s="1736"/>
      <c r="K29" s="1737"/>
      <c r="L29" s="1736"/>
      <c r="M29" s="1737"/>
      <c r="N29" s="1736"/>
      <c r="O29" s="54"/>
      <c r="P29" s="54"/>
    </row>
    <row r="30" spans="1:17" ht="16.5" customHeight="1" x14ac:dyDescent="0.2">
      <c r="A30" s="1738" t="s">
        <v>3020</v>
      </c>
      <c r="B30" s="1736"/>
      <c r="C30" s="1737"/>
      <c r="D30" s="1736"/>
      <c r="E30" s="1737"/>
      <c r="F30" s="1736"/>
      <c r="G30" s="1737"/>
      <c r="H30" s="1736"/>
      <c r="I30" s="1737"/>
      <c r="J30" s="1736"/>
      <c r="K30" s="1737"/>
      <c r="L30" s="1736"/>
      <c r="M30" s="1737"/>
      <c r="N30" s="1736"/>
      <c r="O30" s="54"/>
      <c r="P30" s="54"/>
    </row>
    <row r="31" spans="1:17" ht="27.75" customHeight="1" x14ac:dyDescent="0.2">
      <c r="A31" s="1755" t="s">
        <v>3021</v>
      </c>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ht="27.75" customHeight="1" x14ac:dyDescent="0.2">
      <c r="A37" s="1735"/>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x14ac:dyDescent="0.2">
      <c r="A39" s="55"/>
      <c r="B39" s="54"/>
      <c r="C39" s="56"/>
      <c r="D39" s="54"/>
      <c r="E39" s="56"/>
      <c r="F39" s="54"/>
      <c r="G39" s="56"/>
      <c r="H39" s="54"/>
      <c r="I39" s="56"/>
      <c r="J39" s="54"/>
      <c r="K39" s="56"/>
      <c r="L39" s="54"/>
      <c r="M39" s="56"/>
      <c r="N39" s="54"/>
      <c r="O39" s="54"/>
      <c r="P39" s="54"/>
    </row>
    <row r="40" spans="1:17" x14ac:dyDescent="0.2">
      <c r="A40" s="55"/>
      <c r="B40" s="54"/>
      <c r="C40" s="54"/>
      <c r="D40" s="54"/>
      <c r="E40" s="54"/>
      <c r="F40" s="54"/>
      <c r="G40" s="54"/>
      <c r="H40" s="54"/>
      <c r="I40" s="54"/>
      <c r="J40" s="54"/>
      <c r="K40" s="54"/>
      <c r="L40" s="54"/>
      <c r="M40" s="54"/>
      <c r="N40" s="54"/>
      <c r="O40" s="54"/>
      <c r="P40" s="54"/>
    </row>
    <row r="41" spans="1:17" x14ac:dyDescent="0.2">
      <c r="A41" s="55"/>
      <c r="B41" s="54"/>
      <c r="C41" s="56"/>
      <c r="D41" s="54"/>
      <c r="E41" s="56"/>
      <c r="F41" s="54"/>
      <c r="G41" s="56"/>
      <c r="H41" s="54"/>
      <c r="I41" s="56"/>
      <c r="J41" s="54"/>
      <c r="K41" s="56"/>
      <c r="L41" s="54"/>
      <c r="M41" s="56"/>
      <c r="N41" s="54"/>
      <c r="O41" s="54"/>
      <c r="P41" s="54"/>
    </row>
    <row r="42" spans="1:17" x14ac:dyDescent="0.2">
      <c r="A42" s="55"/>
      <c r="B42" s="54"/>
      <c r="C42" s="54"/>
      <c r="D42" s="54"/>
      <c r="E42" s="54"/>
      <c r="F42" s="54"/>
      <c r="G42" s="54"/>
      <c r="H42" s="54"/>
      <c r="I42" s="54"/>
      <c r="J42" s="54"/>
      <c r="K42" s="54"/>
      <c r="L42" s="54"/>
      <c r="M42" s="54"/>
      <c r="N42" s="54"/>
      <c r="O42" s="54"/>
      <c r="P42" s="54"/>
    </row>
    <row r="43" spans="1:17" x14ac:dyDescent="0.2">
      <c r="A43" s="55"/>
      <c r="B43" s="54"/>
      <c r="C43" s="56"/>
      <c r="D43" s="54"/>
      <c r="E43" s="56"/>
      <c r="F43" s="54"/>
      <c r="G43" s="56"/>
      <c r="H43" s="54"/>
      <c r="I43" s="56"/>
      <c r="J43" s="54"/>
      <c r="K43" s="56"/>
      <c r="L43" s="54"/>
      <c r="M43" s="56"/>
      <c r="N43" s="54"/>
      <c r="O43" s="54"/>
      <c r="P43" s="54"/>
    </row>
    <row r="44" spans="1:17" x14ac:dyDescent="0.2">
      <c r="A44" s="55"/>
      <c r="B44" s="54"/>
      <c r="C44" s="54"/>
      <c r="D44" s="54"/>
      <c r="E44" s="54"/>
      <c r="F44" s="54"/>
      <c r="G44" s="54"/>
      <c r="H44" s="54"/>
      <c r="I44" s="54"/>
      <c r="J44" s="54"/>
      <c r="K44" s="54"/>
      <c r="L44" s="54"/>
      <c r="M44" s="54"/>
      <c r="N44" s="54"/>
      <c r="O44" s="54"/>
      <c r="P44" s="54"/>
    </row>
    <row r="45" spans="1:17" x14ac:dyDescent="0.2">
      <c r="A45" s="55"/>
      <c r="B45" s="54"/>
      <c r="C45" s="54"/>
      <c r="D45" s="54"/>
      <c r="E45" s="54"/>
      <c r="F45" s="54"/>
      <c r="G45" s="54"/>
      <c r="H45" s="54"/>
      <c r="I45" s="54"/>
      <c r="J45" s="54"/>
      <c r="K45" s="54"/>
      <c r="L45" s="54"/>
      <c r="M45" s="54"/>
      <c r="N45" s="54"/>
      <c r="O45" s="54"/>
      <c r="P45" s="54"/>
    </row>
    <row r="46" spans="1:17" x14ac:dyDescent="0.2">
      <c r="A46" s="55"/>
      <c r="B46" s="54"/>
      <c r="C46" s="54"/>
      <c r="D46" s="54"/>
      <c r="E46" s="54"/>
      <c r="F46" s="54"/>
      <c r="G46" s="54"/>
      <c r="H46" s="54"/>
      <c r="I46" s="54"/>
      <c r="J46" s="54"/>
      <c r="K46" s="54"/>
      <c r="L46" s="54"/>
      <c r="M46" s="54"/>
      <c r="N46" s="54"/>
      <c r="O46" s="54"/>
      <c r="P46" s="54"/>
      <c r="Q46" s="57"/>
    </row>
    <row r="47" spans="1:17" x14ac:dyDescent="0.2">
      <c r="B47" s="25"/>
      <c r="C47" s="25"/>
      <c r="D47" s="25"/>
      <c r="E47" s="58"/>
      <c r="F47" s="58"/>
      <c r="G47" s="58"/>
      <c r="H47" s="58"/>
    </row>
    <row r="48" spans="1:17" x14ac:dyDescent="0.2">
      <c r="B48" s="25"/>
      <c r="C48" s="25"/>
      <c r="D48" s="25"/>
      <c r="E48" s="58"/>
      <c r="F48" s="58"/>
      <c r="G48" s="58"/>
      <c r="H48" s="58"/>
    </row>
    <row r="49" spans="1:17" x14ac:dyDescent="0.2">
      <c r="B49" s="25"/>
      <c r="C49" s="25"/>
      <c r="D49" s="25"/>
      <c r="E49" s="58"/>
      <c r="F49" s="58"/>
      <c r="G49" s="58"/>
      <c r="H49" s="58"/>
    </row>
    <row r="50" spans="1:17" s="59" customFormat="1" x14ac:dyDescent="0.2">
      <c r="A50" s="25"/>
      <c r="B50" s="25"/>
      <c r="C50" s="25"/>
      <c r="D50" s="25"/>
      <c r="E50" s="58"/>
      <c r="F50" s="58"/>
      <c r="G50" s="58"/>
      <c r="H50" s="58"/>
      <c r="J50" s="60"/>
      <c r="L50" s="60"/>
      <c r="N50" s="60"/>
      <c r="P50" s="60"/>
      <c r="Q50" s="29"/>
    </row>
    <row r="51" spans="1:17" s="59" customFormat="1" x14ac:dyDescent="0.2">
      <c r="A51" s="25"/>
      <c r="B51" s="25"/>
      <c r="C51" s="25"/>
      <c r="D51" s="25"/>
      <c r="E51" s="58"/>
      <c r="F51" s="58"/>
      <c r="G51" s="58"/>
      <c r="H51" s="58"/>
      <c r="J51" s="60"/>
      <c r="L51" s="60"/>
      <c r="N51" s="60"/>
      <c r="P51" s="60"/>
      <c r="Q51" s="29"/>
    </row>
    <row r="52" spans="1:17" s="59" customFormat="1" x14ac:dyDescent="0.2">
      <c r="A52" s="25"/>
      <c r="B52" s="25"/>
      <c r="C52" s="25"/>
      <c r="D52" s="25"/>
      <c r="E52" s="58"/>
      <c r="F52" s="58"/>
      <c r="G52" s="58"/>
      <c r="H52" s="58"/>
      <c r="J52" s="60"/>
      <c r="L52" s="60"/>
      <c r="N52" s="60"/>
      <c r="P52" s="60"/>
      <c r="Q52" s="29"/>
    </row>
    <row r="53" spans="1:17" s="59" customFormat="1" x14ac:dyDescent="0.2">
      <c r="A53" s="25"/>
      <c r="B53" s="25"/>
      <c r="C53" s="25"/>
      <c r="D53" s="25"/>
      <c r="E53" s="58"/>
      <c r="F53" s="58"/>
      <c r="G53" s="58"/>
      <c r="H53" s="58"/>
      <c r="J53" s="60"/>
      <c r="L53" s="60"/>
      <c r="N53" s="60"/>
      <c r="P53" s="60"/>
      <c r="Q53" s="29"/>
    </row>
    <row r="54" spans="1:17" s="59" customFormat="1" x14ac:dyDescent="0.2">
      <c r="A54" s="25"/>
      <c r="B54" s="25"/>
      <c r="C54" s="25"/>
      <c r="D54" s="25"/>
      <c r="E54" s="58"/>
      <c r="F54" s="58"/>
      <c r="G54" s="58"/>
      <c r="H54" s="58"/>
      <c r="J54" s="60"/>
      <c r="L54" s="60"/>
      <c r="N54" s="60"/>
      <c r="P54" s="60"/>
      <c r="Q54" s="29"/>
    </row>
    <row r="55" spans="1:17" s="59" customFormat="1" x14ac:dyDescent="0.2">
      <c r="A55" s="25"/>
      <c r="B55" s="25"/>
      <c r="C55" s="25"/>
      <c r="D55" s="25"/>
      <c r="E55" s="58"/>
      <c r="F55" s="58"/>
      <c r="G55" s="58"/>
      <c r="H55" s="58"/>
      <c r="J55" s="60"/>
      <c r="L55" s="60"/>
      <c r="N55" s="60"/>
      <c r="P55" s="60"/>
      <c r="Q55" s="29"/>
    </row>
    <row r="56" spans="1:17" s="59" customFormat="1" x14ac:dyDescent="0.2">
      <c r="A56" s="25"/>
      <c r="B56" s="25"/>
      <c r="C56" s="25"/>
      <c r="D56" s="25"/>
      <c r="E56" s="58"/>
      <c r="F56" s="58"/>
      <c r="G56" s="58"/>
      <c r="H56" s="58"/>
      <c r="J56" s="60"/>
      <c r="L56" s="60"/>
      <c r="N56" s="60"/>
      <c r="P56" s="60"/>
      <c r="Q56" s="29"/>
    </row>
    <row r="57" spans="1:17" s="59" customFormat="1" x14ac:dyDescent="0.2">
      <c r="A57" s="25"/>
      <c r="B57" s="25"/>
      <c r="C57" s="25"/>
      <c r="D57" s="25"/>
      <c r="E57" s="58"/>
      <c r="F57" s="58"/>
      <c r="G57" s="58"/>
      <c r="H57" s="58"/>
      <c r="J57" s="60"/>
      <c r="L57" s="60"/>
      <c r="N57" s="60"/>
      <c r="P57" s="60"/>
      <c r="Q57" s="29"/>
    </row>
    <row r="58" spans="1:17" s="59" customFormat="1" x14ac:dyDescent="0.2">
      <c r="A58" s="25"/>
      <c r="B58" s="25"/>
      <c r="C58" s="25"/>
      <c r="D58" s="25"/>
      <c r="E58" s="58"/>
      <c r="F58" s="58"/>
      <c r="G58" s="58"/>
      <c r="H58" s="58"/>
      <c r="J58" s="60"/>
      <c r="L58" s="60"/>
      <c r="N58" s="60"/>
      <c r="P58" s="60"/>
      <c r="Q58" s="29"/>
    </row>
    <row r="59" spans="1:17" s="59" customFormat="1" x14ac:dyDescent="0.2">
      <c r="A59" s="25"/>
      <c r="B59" s="25"/>
      <c r="C59" s="25"/>
      <c r="D59" s="25"/>
      <c r="E59" s="58"/>
      <c r="F59" s="58"/>
      <c r="G59" s="58"/>
      <c r="H59" s="58"/>
      <c r="J59" s="60"/>
      <c r="L59" s="60"/>
      <c r="N59" s="60"/>
      <c r="P59" s="60"/>
      <c r="Q59" s="29"/>
    </row>
    <row r="60" spans="1:17" s="59" customFormat="1" x14ac:dyDescent="0.2">
      <c r="A60" s="25"/>
      <c r="B60" s="25"/>
      <c r="C60" s="25"/>
      <c r="D60" s="25"/>
      <c r="E60" s="58"/>
      <c r="F60" s="58"/>
      <c r="G60" s="58"/>
      <c r="H60" s="58"/>
      <c r="J60" s="60"/>
      <c r="L60" s="60"/>
      <c r="N60" s="60"/>
      <c r="P60" s="60"/>
      <c r="Q60" s="29"/>
    </row>
    <row r="61" spans="1:17" s="59" customFormat="1" x14ac:dyDescent="0.2">
      <c r="A61" s="25"/>
      <c r="B61" s="25"/>
      <c r="C61" s="25"/>
      <c r="D61" s="25"/>
      <c r="E61" s="58"/>
      <c r="F61" s="58"/>
      <c r="G61" s="58"/>
      <c r="H61" s="58"/>
      <c r="J61" s="60"/>
      <c r="L61" s="60"/>
      <c r="N61" s="60"/>
      <c r="P61" s="60"/>
      <c r="Q61" s="29"/>
    </row>
    <row r="62" spans="1:17" s="59" customFormat="1" x14ac:dyDescent="0.2">
      <c r="A62" s="25"/>
      <c r="B62" s="25"/>
      <c r="C62" s="25"/>
      <c r="D62" s="25"/>
      <c r="E62" s="58"/>
      <c r="F62" s="58"/>
      <c r="G62" s="58"/>
      <c r="H62" s="58"/>
      <c r="J62" s="60"/>
      <c r="L62" s="60"/>
      <c r="N62" s="60"/>
      <c r="P62" s="60"/>
      <c r="Q62" s="29"/>
    </row>
    <row r="63" spans="1:17" s="59" customFormat="1" x14ac:dyDescent="0.2">
      <c r="A63" s="25"/>
      <c r="B63" s="25"/>
      <c r="C63" s="25"/>
      <c r="D63" s="25"/>
      <c r="E63" s="58"/>
      <c r="F63" s="58"/>
      <c r="G63" s="58"/>
      <c r="H63" s="58"/>
      <c r="J63" s="60"/>
      <c r="L63" s="60"/>
      <c r="N63" s="60"/>
      <c r="P63" s="60"/>
      <c r="Q63" s="29"/>
    </row>
    <row r="64" spans="1:17" s="59" customFormat="1" x14ac:dyDescent="0.2">
      <c r="A64" s="25"/>
      <c r="B64" s="25"/>
      <c r="C64" s="25"/>
      <c r="D64" s="25"/>
      <c r="E64" s="58"/>
      <c r="F64" s="58"/>
      <c r="G64" s="58"/>
      <c r="H64" s="58"/>
      <c r="J64" s="60"/>
      <c r="L64" s="60"/>
      <c r="N64" s="60"/>
      <c r="P64" s="60"/>
      <c r="Q64" s="29"/>
    </row>
    <row r="65" spans="1:17" s="59" customFormat="1" x14ac:dyDescent="0.2">
      <c r="A65" s="25"/>
      <c r="B65" s="25"/>
      <c r="C65" s="25"/>
      <c r="D65" s="25"/>
      <c r="E65" s="58"/>
      <c r="F65" s="58"/>
      <c r="G65" s="58"/>
      <c r="H65" s="58"/>
      <c r="J65" s="60"/>
      <c r="L65" s="60"/>
      <c r="N65" s="60"/>
      <c r="P65" s="60"/>
      <c r="Q65" s="29"/>
    </row>
    <row r="66" spans="1:17" s="59" customFormat="1" x14ac:dyDescent="0.2">
      <c r="A66" s="25"/>
      <c r="B66" s="25"/>
      <c r="C66" s="25"/>
      <c r="D66" s="25"/>
      <c r="E66" s="58"/>
      <c r="F66" s="58"/>
      <c r="G66" s="58"/>
      <c r="H66" s="58"/>
      <c r="J66" s="60"/>
      <c r="L66" s="60"/>
      <c r="N66" s="60"/>
      <c r="P66" s="60"/>
      <c r="Q66" s="29"/>
    </row>
    <row r="67" spans="1:17" s="59" customFormat="1" x14ac:dyDescent="0.2">
      <c r="A67" s="25"/>
      <c r="B67" s="25"/>
      <c r="C67" s="25"/>
      <c r="D67" s="25"/>
      <c r="E67" s="58"/>
      <c r="F67" s="58"/>
      <c r="G67" s="58"/>
      <c r="H67" s="58"/>
      <c r="J67" s="60"/>
      <c r="L67" s="60"/>
      <c r="N67" s="60"/>
      <c r="P67" s="60"/>
      <c r="Q67" s="29"/>
    </row>
    <row r="68" spans="1:17" s="59" customFormat="1" x14ac:dyDescent="0.2">
      <c r="A68" s="25"/>
      <c r="B68" s="25"/>
      <c r="C68" s="25"/>
      <c r="D68" s="25"/>
      <c r="E68" s="58"/>
      <c r="F68" s="58"/>
      <c r="G68" s="58"/>
      <c r="H68" s="58"/>
      <c r="J68" s="60"/>
      <c r="L68" s="60"/>
      <c r="N68" s="60"/>
      <c r="P68" s="60"/>
      <c r="Q68" s="29"/>
    </row>
    <row r="69" spans="1:17" s="59" customFormat="1" x14ac:dyDescent="0.2">
      <c r="A69" s="25"/>
      <c r="B69" s="25"/>
      <c r="C69" s="25"/>
      <c r="D69" s="25"/>
      <c r="E69" s="58"/>
      <c r="F69" s="58"/>
      <c r="G69" s="58"/>
      <c r="H69" s="58"/>
      <c r="J69" s="60"/>
      <c r="L69" s="60"/>
      <c r="N69" s="60"/>
      <c r="P69" s="60"/>
      <c r="Q69" s="29"/>
    </row>
    <row r="70" spans="1:17" s="59" customFormat="1" x14ac:dyDescent="0.2">
      <c r="A70" s="25"/>
      <c r="B70" s="25"/>
      <c r="C70" s="25"/>
      <c r="D70" s="25"/>
      <c r="E70" s="58"/>
      <c r="F70" s="58"/>
      <c r="G70" s="58"/>
      <c r="H70" s="58"/>
      <c r="J70" s="60"/>
      <c r="L70" s="60"/>
      <c r="N70" s="60"/>
      <c r="P70" s="60"/>
      <c r="Q70" s="29"/>
    </row>
    <row r="71" spans="1:17" s="59" customFormat="1" x14ac:dyDescent="0.2">
      <c r="A71" s="25"/>
      <c r="B71" s="25"/>
      <c r="C71" s="25"/>
      <c r="D71" s="25"/>
      <c r="E71" s="58"/>
      <c r="F71" s="58"/>
      <c r="G71" s="58"/>
      <c r="H71" s="58"/>
      <c r="J71" s="60"/>
      <c r="L71" s="60"/>
      <c r="N71" s="60"/>
      <c r="P71" s="60"/>
      <c r="Q71" s="29"/>
    </row>
    <row r="72" spans="1:17" s="59" customFormat="1" x14ac:dyDescent="0.2">
      <c r="A72" s="25"/>
      <c r="B72" s="25"/>
      <c r="C72" s="25"/>
      <c r="D72" s="25"/>
      <c r="E72" s="58"/>
      <c r="F72" s="58"/>
      <c r="G72" s="58"/>
      <c r="H72" s="58"/>
      <c r="J72" s="60"/>
      <c r="L72" s="60"/>
      <c r="N72" s="60"/>
      <c r="P72" s="60"/>
      <c r="Q72" s="29"/>
    </row>
    <row r="73" spans="1:17" s="59" customFormat="1" x14ac:dyDescent="0.2">
      <c r="A73" s="25"/>
      <c r="B73" s="25"/>
      <c r="C73" s="25"/>
      <c r="D73" s="25"/>
      <c r="E73" s="58"/>
      <c r="F73" s="58"/>
      <c r="G73" s="58"/>
      <c r="H73" s="58"/>
      <c r="J73" s="60"/>
      <c r="L73" s="60"/>
      <c r="N73" s="60"/>
      <c r="P73" s="60"/>
      <c r="Q73" s="29"/>
    </row>
    <row r="74" spans="1:17" s="59" customFormat="1" x14ac:dyDescent="0.2">
      <c r="A74" s="25"/>
      <c r="B74" s="25"/>
      <c r="C74" s="25"/>
      <c r="D74" s="25"/>
      <c r="E74" s="58"/>
      <c r="F74" s="58"/>
      <c r="G74" s="58"/>
      <c r="H74" s="58"/>
      <c r="J74" s="60"/>
      <c r="L74" s="60"/>
      <c r="N74" s="60"/>
      <c r="P74" s="60"/>
      <c r="Q74" s="29"/>
    </row>
    <row r="75" spans="1:17" s="59" customFormat="1" x14ac:dyDescent="0.2">
      <c r="A75" s="25"/>
      <c r="B75" s="25"/>
      <c r="C75" s="25"/>
      <c r="D75" s="25"/>
      <c r="E75" s="58"/>
      <c r="F75" s="58"/>
      <c r="G75" s="58"/>
      <c r="H75" s="58"/>
      <c r="J75" s="60"/>
      <c r="L75" s="60"/>
      <c r="N75" s="60"/>
      <c r="P75" s="60"/>
      <c r="Q75" s="29"/>
    </row>
    <row r="76" spans="1:17" s="59" customFormat="1" x14ac:dyDescent="0.2">
      <c r="A76" s="25"/>
      <c r="B76" s="25"/>
      <c r="C76" s="61"/>
      <c r="D76" s="61"/>
      <c r="F76" s="60"/>
      <c r="H76" s="60"/>
      <c r="J76" s="60"/>
      <c r="L76" s="60"/>
      <c r="N76" s="60"/>
      <c r="P76" s="60"/>
      <c r="Q76" s="29"/>
    </row>
    <row r="77" spans="1:17" s="59" customFormat="1" x14ac:dyDescent="0.2">
      <c r="A77" s="25"/>
      <c r="B77" s="25"/>
      <c r="C77" s="61"/>
      <c r="D77" s="61"/>
      <c r="F77" s="60"/>
      <c r="H77" s="60"/>
      <c r="J77" s="60"/>
      <c r="L77" s="60"/>
      <c r="N77" s="60"/>
      <c r="P77" s="60"/>
      <c r="Q77" s="29"/>
    </row>
    <row r="78" spans="1:17" s="59" customFormat="1" x14ac:dyDescent="0.2">
      <c r="A78" s="25"/>
      <c r="B78" s="25"/>
      <c r="C78" s="61"/>
      <c r="D78" s="61"/>
      <c r="F78" s="60"/>
      <c r="H78" s="60"/>
      <c r="J78" s="60"/>
      <c r="L78" s="60"/>
      <c r="N78" s="60"/>
      <c r="P78" s="60"/>
      <c r="Q78" s="29"/>
    </row>
    <row r="79" spans="1:17" s="59" customFormat="1" x14ac:dyDescent="0.2">
      <c r="A79" s="25"/>
      <c r="B79" s="25"/>
      <c r="C79" s="61"/>
      <c r="D79" s="61"/>
      <c r="F79" s="60"/>
      <c r="H79" s="60"/>
      <c r="J79" s="60"/>
      <c r="L79" s="60"/>
      <c r="N79" s="60"/>
      <c r="P79" s="60"/>
      <c r="Q79" s="29"/>
    </row>
    <row r="80" spans="1:17" s="59" customFormat="1" x14ac:dyDescent="0.2">
      <c r="A80" s="25"/>
      <c r="B80" s="25"/>
      <c r="C80" s="61"/>
      <c r="D80" s="61"/>
      <c r="F80" s="60"/>
      <c r="H80" s="60"/>
      <c r="J80" s="60"/>
      <c r="L80" s="60"/>
      <c r="N80" s="60"/>
      <c r="P80" s="60"/>
      <c r="Q80" s="29"/>
    </row>
    <row r="81" spans="1:17" s="59" customFormat="1" x14ac:dyDescent="0.2">
      <c r="A81" s="25"/>
      <c r="B81" s="25"/>
      <c r="C81" s="61"/>
      <c r="D81" s="61"/>
      <c r="F81" s="60"/>
      <c r="H81" s="60"/>
      <c r="J81" s="60"/>
      <c r="L81" s="60"/>
      <c r="N81" s="60"/>
      <c r="P81" s="60"/>
      <c r="Q81" s="29"/>
    </row>
    <row r="82" spans="1:17" s="61" customFormat="1" x14ac:dyDescent="0.2">
      <c r="A82" s="25"/>
      <c r="B82" s="25"/>
      <c r="E82" s="59"/>
      <c r="F82" s="60"/>
      <c r="G82" s="59"/>
      <c r="H82" s="60"/>
      <c r="I82" s="59"/>
      <c r="J82" s="60"/>
      <c r="K82" s="59"/>
      <c r="L82" s="60"/>
      <c r="M82" s="59"/>
      <c r="N82" s="60"/>
      <c r="O82" s="59"/>
      <c r="P82" s="60"/>
      <c r="Q82" s="29"/>
    </row>
    <row r="83" spans="1:17" s="61" customFormat="1" x14ac:dyDescent="0.2">
      <c r="A83" s="25"/>
      <c r="B83" s="25"/>
      <c r="E83" s="59"/>
      <c r="F83" s="60"/>
      <c r="G83" s="59"/>
      <c r="H83" s="60"/>
      <c r="I83" s="59"/>
      <c r="J83" s="60"/>
      <c r="K83" s="59"/>
      <c r="L83" s="60"/>
      <c r="M83" s="59"/>
      <c r="N83" s="60"/>
      <c r="O83" s="59"/>
      <c r="P83" s="60"/>
      <c r="Q83" s="29"/>
    </row>
    <row r="84" spans="1:17" s="61" customFormat="1" x14ac:dyDescent="0.2">
      <c r="A84" s="25"/>
      <c r="B84" s="25"/>
      <c r="E84" s="59"/>
      <c r="F84" s="60"/>
      <c r="G84" s="59"/>
      <c r="H84" s="60"/>
      <c r="I84" s="59"/>
      <c r="J84" s="60"/>
      <c r="K84" s="59"/>
      <c r="L84" s="60"/>
      <c r="M84" s="59"/>
      <c r="N84" s="60"/>
      <c r="O84" s="59"/>
      <c r="P84" s="60"/>
      <c r="Q84" s="29"/>
    </row>
    <row r="85" spans="1:17" s="61" customFormat="1" x14ac:dyDescent="0.2">
      <c r="A85" s="25"/>
      <c r="B85" s="25"/>
      <c r="E85" s="59"/>
      <c r="F85" s="60"/>
      <c r="G85" s="59"/>
      <c r="H85" s="60"/>
      <c r="I85" s="59"/>
      <c r="J85" s="60"/>
      <c r="K85" s="59"/>
      <c r="L85" s="60"/>
      <c r="M85" s="59"/>
      <c r="N85" s="60"/>
      <c r="O85" s="59"/>
      <c r="P85" s="60"/>
      <c r="Q85" s="29"/>
    </row>
    <row r="86" spans="1:17" s="61" customFormat="1" x14ac:dyDescent="0.2">
      <c r="A86" s="25"/>
      <c r="B86" s="25"/>
      <c r="E86" s="59"/>
      <c r="F86" s="60"/>
      <c r="G86" s="59"/>
      <c r="H86" s="60"/>
      <c r="I86" s="59"/>
      <c r="J86" s="60"/>
      <c r="K86" s="59"/>
      <c r="L86" s="60"/>
      <c r="M86" s="59"/>
      <c r="N86" s="60"/>
      <c r="O86" s="59"/>
      <c r="P86" s="60"/>
      <c r="Q86" s="29"/>
    </row>
    <row r="87" spans="1:17" s="61" customFormat="1" x14ac:dyDescent="0.2">
      <c r="A87" s="25"/>
      <c r="B87" s="25"/>
      <c r="E87" s="59"/>
      <c r="F87" s="60"/>
      <c r="G87" s="59"/>
      <c r="H87" s="60"/>
      <c r="I87" s="59"/>
      <c r="J87" s="60"/>
      <c r="K87" s="59"/>
      <c r="L87" s="60"/>
      <c r="M87" s="59"/>
      <c r="N87" s="60"/>
      <c r="O87" s="59"/>
      <c r="P87" s="60"/>
      <c r="Q87" s="29"/>
    </row>
    <row r="88" spans="1:17" s="61" customFormat="1" x14ac:dyDescent="0.2">
      <c r="A88" s="25"/>
      <c r="B88" s="25"/>
      <c r="E88" s="59"/>
      <c r="F88" s="60"/>
      <c r="G88" s="59"/>
      <c r="H88" s="60"/>
      <c r="I88" s="59"/>
      <c r="J88" s="60"/>
      <c r="K88" s="59"/>
      <c r="L88" s="60"/>
      <c r="M88" s="59"/>
      <c r="N88" s="60"/>
      <c r="O88" s="59"/>
      <c r="P88" s="60"/>
      <c r="Q88" s="29"/>
    </row>
    <row r="89" spans="1:17" s="61" customFormat="1" x14ac:dyDescent="0.2">
      <c r="A89" s="25"/>
      <c r="B89" s="25"/>
      <c r="E89" s="59"/>
      <c r="F89" s="60"/>
      <c r="G89" s="59"/>
      <c r="H89" s="60"/>
      <c r="I89" s="59"/>
      <c r="J89" s="60"/>
      <c r="K89" s="59"/>
      <c r="L89" s="60"/>
      <c r="M89" s="59"/>
      <c r="N89" s="60"/>
      <c r="O89" s="59"/>
      <c r="P89" s="60"/>
      <c r="Q89" s="29"/>
    </row>
    <row r="90" spans="1:17" s="61" customFormat="1" x14ac:dyDescent="0.2">
      <c r="A90" s="25"/>
      <c r="B90" s="25"/>
      <c r="E90" s="59"/>
      <c r="F90" s="60"/>
      <c r="G90" s="59"/>
      <c r="H90" s="60"/>
      <c r="I90" s="59"/>
      <c r="J90" s="60"/>
      <c r="K90" s="59"/>
      <c r="L90" s="60"/>
      <c r="M90" s="59"/>
      <c r="N90" s="60"/>
      <c r="O90" s="59"/>
      <c r="P90" s="60"/>
      <c r="Q90" s="29"/>
    </row>
    <row r="91" spans="1:17" s="61" customFormat="1" x14ac:dyDescent="0.2">
      <c r="A91" s="25"/>
      <c r="B91" s="25"/>
      <c r="E91" s="59"/>
      <c r="F91" s="60"/>
      <c r="G91" s="59"/>
      <c r="H91" s="60"/>
      <c r="I91" s="59"/>
      <c r="J91" s="60"/>
      <c r="K91" s="59"/>
      <c r="L91" s="60"/>
      <c r="M91" s="59"/>
      <c r="N91" s="60"/>
      <c r="O91" s="59"/>
      <c r="P91" s="60"/>
      <c r="Q91" s="29"/>
    </row>
    <row r="92" spans="1:17" s="61" customFormat="1" x14ac:dyDescent="0.2">
      <c r="A92" s="25"/>
      <c r="B92" s="25"/>
      <c r="E92" s="59"/>
      <c r="F92" s="60"/>
      <c r="G92" s="59"/>
      <c r="H92" s="60"/>
      <c r="I92" s="59"/>
      <c r="J92" s="60"/>
      <c r="K92" s="59"/>
      <c r="L92" s="60"/>
      <c r="M92" s="59"/>
      <c r="N92" s="60"/>
      <c r="O92" s="59"/>
      <c r="P92" s="60"/>
      <c r="Q92" s="29"/>
    </row>
  </sheetData>
  <mergeCells count="12">
    <mergeCell ref="A34:N34"/>
    <mergeCell ref="A35:N35"/>
    <mergeCell ref="A36:N36"/>
    <mergeCell ref="A37:N37"/>
    <mergeCell ref="A38:N38"/>
    <mergeCell ref="A32:N32"/>
    <mergeCell ref="A33:N33"/>
    <mergeCell ref="K2:K3"/>
    <mergeCell ref="A28:N28"/>
    <mergeCell ref="A29:N29"/>
    <mergeCell ref="A30:N30"/>
    <mergeCell ref="A31:N31"/>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fitToHeight="99" pageOrder="overThenDown" orientation="landscape" blackAndWhite="1"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4">
    <pageSetUpPr fitToPage="1"/>
  </sheetPr>
  <dimension ref="A1:Q7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7" s="4" customFormat="1" ht="15.75" x14ac:dyDescent="0.2">
      <c r="A1" s="1" t="s">
        <v>174</v>
      </c>
      <c r="B1" s="2">
        <v>2019</v>
      </c>
      <c r="C1" s="3"/>
      <c r="E1" s="3"/>
      <c r="G1" s="5"/>
      <c r="I1" s="5"/>
      <c r="J1" s="6"/>
      <c r="K1" s="5"/>
      <c r="L1" s="6"/>
      <c r="M1" s="5"/>
      <c r="N1" s="6"/>
    </row>
    <row r="2" spans="1:17" s="4" customFormat="1" ht="15.75" x14ac:dyDescent="0.25">
      <c r="A2" s="1" t="s">
        <v>175</v>
      </c>
      <c r="B2" s="7" t="s">
        <v>2985</v>
      </c>
      <c r="C2" s="7" t="s">
        <v>77</v>
      </c>
      <c r="D2" s="6"/>
      <c r="E2" s="8"/>
      <c r="F2" s="9"/>
      <c r="G2" s="8"/>
      <c r="H2" s="6"/>
      <c r="I2" s="8"/>
      <c r="J2" s="6"/>
      <c r="K2" s="1733" t="s">
        <v>171</v>
      </c>
      <c r="L2" s="6"/>
      <c r="M2" s="8"/>
      <c r="N2" s="6"/>
    </row>
    <row r="3" spans="1:17" s="4" customFormat="1" ht="15.75" x14ac:dyDescent="0.25">
      <c r="A3" s="1" t="s">
        <v>177</v>
      </c>
      <c r="B3" s="10" t="s">
        <v>1766</v>
      </c>
      <c r="C3" s="10" t="s">
        <v>2441</v>
      </c>
      <c r="D3" s="6"/>
      <c r="E3" s="11"/>
      <c r="F3" s="9"/>
      <c r="G3" s="11"/>
      <c r="H3" s="6"/>
      <c r="I3" s="11"/>
      <c r="J3" s="6"/>
      <c r="K3" s="1734"/>
      <c r="L3" s="6"/>
      <c r="M3" s="11"/>
      <c r="N3" s="6"/>
    </row>
    <row r="4" spans="1:17" s="4" customFormat="1" ht="15.75" x14ac:dyDescent="0.25">
      <c r="A4" s="1" t="s">
        <v>180</v>
      </c>
      <c r="B4" s="10" t="s">
        <v>1496</v>
      </c>
      <c r="C4" s="10" t="s">
        <v>36</v>
      </c>
      <c r="D4" s="6"/>
      <c r="E4" s="11"/>
      <c r="F4" s="9"/>
      <c r="G4" s="11"/>
      <c r="H4" s="6"/>
      <c r="I4" s="11"/>
      <c r="J4" s="6"/>
      <c r="K4" s="11"/>
      <c r="L4" s="6"/>
      <c r="M4" s="11"/>
      <c r="N4" s="6"/>
    </row>
    <row r="5" spans="1:17" s="4" customFormat="1" ht="15.75" x14ac:dyDescent="0.2">
      <c r="A5" s="1" t="s">
        <v>183</v>
      </c>
      <c r="B5" s="12" t="s">
        <v>3022</v>
      </c>
      <c r="C5" s="12" t="s">
        <v>3023</v>
      </c>
      <c r="D5" s="13"/>
      <c r="E5" s="14"/>
      <c r="G5" s="14"/>
      <c r="I5" s="14"/>
      <c r="K5" s="14"/>
      <c r="M5" s="14"/>
    </row>
    <row r="6" spans="1:17" s="4" customFormat="1" ht="15.75" x14ac:dyDescent="0.25">
      <c r="A6" s="15" t="s">
        <v>186</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187</v>
      </c>
      <c r="L7" s="23"/>
      <c r="M7" s="22" t="s">
        <v>187</v>
      </c>
      <c r="N7" s="23"/>
    </row>
    <row r="8" spans="1:17"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7"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7" s="37" customFormat="1" x14ac:dyDescent="0.2">
      <c r="A10" s="35" t="s">
        <v>194</v>
      </c>
      <c r="B10" s="36"/>
    </row>
    <row r="11" spans="1:17" s="37" customFormat="1" x14ac:dyDescent="0.2">
      <c r="A11" s="35" t="s">
        <v>195</v>
      </c>
      <c r="B11" s="36"/>
    </row>
    <row r="12" spans="1:17" s="40" customFormat="1" x14ac:dyDescent="0.2">
      <c r="A12" s="41" t="s">
        <v>262</v>
      </c>
      <c r="B12" s="39"/>
      <c r="C12" s="62">
        <v>21</v>
      </c>
      <c r="D12" s="42"/>
      <c r="E12" s="62">
        <v>22</v>
      </c>
      <c r="F12" s="77"/>
      <c r="G12" s="42">
        <v>21</v>
      </c>
      <c r="H12" s="77"/>
      <c r="I12" s="42">
        <v>18</v>
      </c>
      <c r="J12" s="77"/>
      <c r="K12" s="42">
        <v>24</v>
      </c>
      <c r="M12" s="42"/>
    </row>
    <row r="13" spans="1:17" s="40" customFormat="1" x14ac:dyDescent="0.2">
      <c r="A13" s="41"/>
      <c r="B13" s="39"/>
      <c r="M13" s="77"/>
    </row>
    <row r="14" spans="1:17" s="48" customFormat="1" x14ac:dyDescent="0.2">
      <c r="A14" s="46"/>
      <c r="B14" s="47"/>
    </row>
    <row r="15" spans="1:17" s="48" customFormat="1" x14ac:dyDescent="0.2">
      <c r="A15" s="49" t="s">
        <v>200</v>
      </c>
      <c r="B15" s="50"/>
      <c r="C15" s="51"/>
      <c r="D15" s="52"/>
      <c r="E15" s="53"/>
      <c r="F15" s="52"/>
      <c r="G15" s="53"/>
      <c r="H15" s="52"/>
      <c r="I15" s="53"/>
      <c r="J15" s="52"/>
      <c r="K15" s="53"/>
      <c r="L15" s="52"/>
      <c r="M15" s="51"/>
      <c r="N15" s="52"/>
    </row>
    <row r="16" spans="1:17" ht="27.75" customHeight="1" x14ac:dyDescent="0.2">
      <c r="A16" s="1738" t="s">
        <v>524</v>
      </c>
      <c r="B16" s="1736"/>
      <c r="C16" s="1737"/>
      <c r="D16" s="1736"/>
      <c r="E16" s="1737"/>
      <c r="F16" s="1736"/>
      <c r="G16" s="1737"/>
      <c r="H16" s="1736"/>
      <c r="I16" s="1737"/>
      <c r="J16" s="1736"/>
      <c r="K16" s="1737"/>
      <c r="L16" s="1736"/>
      <c r="M16" s="1737"/>
      <c r="N16" s="1736"/>
      <c r="O16" s="54"/>
      <c r="P16" s="54"/>
      <c r="Q16" s="951"/>
    </row>
    <row r="17" spans="1:17" ht="27.75" customHeight="1" x14ac:dyDescent="0.2">
      <c r="A17" s="1738"/>
      <c r="B17" s="1736"/>
      <c r="C17" s="1737"/>
      <c r="D17" s="1736"/>
      <c r="E17" s="1737"/>
      <c r="F17" s="1736"/>
      <c r="G17" s="1737"/>
      <c r="H17" s="1736"/>
      <c r="I17" s="1737"/>
      <c r="J17" s="1736"/>
      <c r="K17" s="1737"/>
      <c r="L17" s="1736"/>
      <c r="M17" s="1737"/>
      <c r="N17" s="1736"/>
      <c r="O17" s="54"/>
      <c r="P17" s="54"/>
    </row>
    <row r="18" spans="1:17" ht="27.75" customHeight="1" x14ac:dyDescent="0.2">
      <c r="A18" s="1735"/>
      <c r="B18" s="1736"/>
      <c r="C18" s="1737"/>
      <c r="D18" s="1736"/>
      <c r="E18" s="1737"/>
      <c r="F18" s="1736"/>
      <c r="G18" s="1737"/>
      <c r="H18" s="1736"/>
      <c r="I18" s="1737"/>
      <c r="J18" s="1736"/>
      <c r="K18" s="1737"/>
      <c r="L18" s="1736"/>
      <c r="M18" s="1737"/>
      <c r="N18" s="1736"/>
      <c r="O18" s="54"/>
      <c r="P18" s="54"/>
    </row>
    <row r="19" spans="1:17" ht="27.75" customHeight="1" x14ac:dyDescent="0.2">
      <c r="A19" s="1735"/>
      <c r="B19" s="1736"/>
      <c r="C19" s="1737"/>
      <c r="D19" s="1736"/>
      <c r="E19" s="1737"/>
      <c r="F19" s="1736"/>
      <c r="G19" s="1737"/>
      <c r="H19" s="1736"/>
      <c r="I19" s="1737"/>
      <c r="J19" s="1736"/>
      <c r="K19" s="1737"/>
      <c r="L19" s="1736"/>
      <c r="M19" s="1737"/>
      <c r="N19" s="1736"/>
      <c r="O19" s="54"/>
      <c r="P19" s="54"/>
    </row>
    <row r="20" spans="1:17" ht="27.75" customHeight="1" x14ac:dyDescent="0.2">
      <c r="A20" s="1735"/>
      <c r="B20" s="1736"/>
      <c r="C20" s="1737"/>
      <c r="D20" s="1736"/>
      <c r="E20" s="1737"/>
      <c r="F20" s="1736"/>
      <c r="G20" s="1737"/>
      <c r="H20" s="1736"/>
      <c r="I20" s="1737"/>
      <c r="J20" s="1736"/>
      <c r="K20" s="1737"/>
      <c r="L20" s="1736"/>
      <c r="M20" s="1737"/>
      <c r="N20" s="1736"/>
      <c r="O20" s="54"/>
      <c r="P20" s="54"/>
    </row>
    <row r="21" spans="1:17" ht="27.75" customHeight="1" x14ac:dyDescent="0.2">
      <c r="A21" s="1735"/>
      <c r="B21" s="1736"/>
      <c r="C21" s="1737"/>
      <c r="D21" s="1736"/>
      <c r="E21" s="1737"/>
      <c r="F21" s="1736"/>
      <c r="G21" s="1737"/>
      <c r="H21" s="1736"/>
      <c r="I21" s="1737"/>
      <c r="J21" s="1736"/>
      <c r="K21" s="1737"/>
      <c r="L21" s="1736"/>
      <c r="M21" s="1737"/>
      <c r="N21" s="1736"/>
      <c r="O21" s="54"/>
      <c r="P21" s="54"/>
    </row>
    <row r="22" spans="1:17" ht="27.75" customHeight="1" x14ac:dyDescent="0.2">
      <c r="A22" s="1735"/>
      <c r="B22" s="1736"/>
      <c r="C22" s="1737"/>
      <c r="D22" s="1736"/>
      <c r="E22" s="1737"/>
      <c r="F22" s="1736"/>
      <c r="G22" s="1737"/>
      <c r="H22" s="1736"/>
      <c r="I22" s="1737"/>
      <c r="J22" s="1736"/>
      <c r="K22" s="1737"/>
      <c r="L22" s="1736"/>
      <c r="M22" s="1737"/>
      <c r="N22" s="1736"/>
      <c r="O22" s="54"/>
      <c r="P22" s="54"/>
    </row>
    <row r="23" spans="1:17" ht="27.75" customHeight="1" x14ac:dyDescent="0.2">
      <c r="A23" s="1735"/>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x14ac:dyDescent="0.2">
      <c r="A25" s="55"/>
      <c r="B25" s="54"/>
      <c r="C25" s="56"/>
      <c r="D25" s="54"/>
      <c r="E25" s="56"/>
      <c r="F25" s="54"/>
      <c r="G25" s="56"/>
      <c r="H25" s="54"/>
      <c r="I25" s="56"/>
      <c r="J25" s="54"/>
      <c r="K25" s="56"/>
      <c r="L25" s="54"/>
      <c r="M25" s="56"/>
      <c r="N25" s="54"/>
      <c r="O25" s="54"/>
      <c r="P25" s="54"/>
    </row>
    <row r="26" spans="1:17" x14ac:dyDescent="0.2">
      <c r="A26" s="55"/>
      <c r="B26" s="54"/>
      <c r="C26" s="54"/>
      <c r="D26" s="54"/>
      <c r="E26" s="54"/>
      <c r="F26" s="54"/>
      <c r="G26" s="54"/>
      <c r="H26" s="54"/>
      <c r="I26" s="54"/>
      <c r="J26" s="54"/>
      <c r="K26" s="54"/>
      <c r="L26" s="54"/>
      <c r="M26" s="54"/>
      <c r="N26" s="54"/>
      <c r="O26" s="54"/>
      <c r="P26" s="54"/>
    </row>
    <row r="27" spans="1:17" x14ac:dyDescent="0.2">
      <c r="A27" s="55"/>
      <c r="B27" s="54"/>
      <c r="C27" s="56"/>
      <c r="D27" s="54"/>
      <c r="E27" s="56"/>
      <c r="F27" s="54"/>
      <c r="G27" s="56"/>
      <c r="H27" s="54"/>
      <c r="I27" s="56"/>
      <c r="J27" s="54"/>
      <c r="K27" s="56"/>
      <c r="L27" s="54"/>
      <c r="M27" s="56"/>
      <c r="N27" s="54"/>
      <c r="O27" s="54"/>
      <c r="P27" s="54"/>
    </row>
    <row r="28" spans="1:17" x14ac:dyDescent="0.2">
      <c r="A28" s="55"/>
      <c r="B28" s="54"/>
      <c r="C28" s="54"/>
      <c r="D28" s="54"/>
      <c r="E28" s="54"/>
      <c r="F28" s="54"/>
      <c r="G28" s="54"/>
      <c r="H28" s="54"/>
      <c r="I28" s="54"/>
      <c r="J28" s="54"/>
      <c r="K28" s="54"/>
      <c r="L28" s="54"/>
      <c r="M28" s="54"/>
      <c r="N28" s="54"/>
      <c r="O28" s="54"/>
      <c r="P28" s="54"/>
    </row>
    <row r="29" spans="1:17" x14ac:dyDescent="0.2">
      <c r="A29" s="55"/>
      <c r="B29" s="54"/>
      <c r="C29" s="56"/>
      <c r="D29" s="54"/>
      <c r="E29" s="56"/>
      <c r="F29" s="54"/>
      <c r="G29" s="56"/>
      <c r="H29" s="54"/>
      <c r="I29" s="56"/>
      <c r="J29" s="54"/>
      <c r="K29" s="56"/>
      <c r="L29" s="54"/>
      <c r="M29" s="56"/>
      <c r="N29" s="54"/>
      <c r="O29" s="54"/>
      <c r="P29" s="54"/>
    </row>
    <row r="30" spans="1:17" x14ac:dyDescent="0.2">
      <c r="A30" s="55"/>
      <c r="B30" s="54"/>
      <c r="C30" s="54"/>
      <c r="D30" s="54"/>
      <c r="E30" s="54"/>
      <c r="F30" s="54"/>
      <c r="G30" s="54"/>
      <c r="H30" s="54"/>
      <c r="I30" s="54"/>
      <c r="J30" s="54"/>
      <c r="K30" s="54"/>
      <c r="L30" s="54"/>
      <c r="M30" s="54"/>
      <c r="N30" s="54"/>
      <c r="O30" s="54"/>
      <c r="P30" s="54"/>
    </row>
    <row r="31" spans="1:17" x14ac:dyDescent="0.2">
      <c r="A31" s="55"/>
      <c r="B31" s="54"/>
      <c r="C31" s="54"/>
      <c r="D31" s="54"/>
      <c r="E31" s="54"/>
      <c r="F31" s="54"/>
      <c r="G31" s="54"/>
      <c r="H31" s="54"/>
      <c r="I31" s="54"/>
      <c r="J31" s="54"/>
      <c r="K31" s="54"/>
      <c r="L31" s="54"/>
      <c r="M31" s="54"/>
      <c r="N31" s="54"/>
      <c r="O31" s="54"/>
      <c r="P31" s="54"/>
    </row>
    <row r="32" spans="1:17" x14ac:dyDescent="0.2">
      <c r="A32" s="55"/>
      <c r="B32" s="54"/>
      <c r="C32" s="54"/>
      <c r="D32" s="54"/>
      <c r="E32" s="54"/>
      <c r="F32" s="54"/>
      <c r="G32" s="54"/>
      <c r="H32" s="54"/>
      <c r="I32" s="54"/>
      <c r="J32" s="54"/>
      <c r="K32" s="54"/>
      <c r="L32" s="54"/>
      <c r="M32" s="54"/>
      <c r="N32" s="54"/>
      <c r="O32" s="54"/>
      <c r="P32" s="54"/>
      <c r="Q32" s="57"/>
    </row>
    <row r="33" spans="2:8" x14ac:dyDescent="0.2">
      <c r="B33" s="25"/>
      <c r="C33" s="25"/>
      <c r="D33" s="25"/>
      <c r="E33" s="58"/>
      <c r="F33" s="58"/>
      <c r="G33" s="58"/>
      <c r="H33" s="58"/>
    </row>
    <row r="34" spans="2:8" x14ac:dyDescent="0.2">
      <c r="B34" s="25"/>
      <c r="C34" s="25"/>
      <c r="D34" s="25"/>
      <c r="E34" s="58"/>
      <c r="F34" s="58"/>
      <c r="G34" s="58"/>
      <c r="H34" s="58"/>
    </row>
    <row r="35" spans="2:8" x14ac:dyDescent="0.2">
      <c r="B35" s="25"/>
      <c r="C35" s="25"/>
      <c r="D35" s="25"/>
      <c r="E35" s="58"/>
      <c r="F35" s="58"/>
      <c r="G35" s="58"/>
      <c r="H35" s="58"/>
    </row>
    <row r="36" spans="2:8" x14ac:dyDescent="0.2">
      <c r="B36" s="25"/>
      <c r="C36" s="25"/>
      <c r="D36" s="25"/>
      <c r="E36" s="58"/>
      <c r="F36" s="58"/>
      <c r="G36" s="58"/>
      <c r="H36" s="58"/>
    </row>
    <row r="37" spans="2:8" x14ac:dyDescent="0.2">
      <c r="B37" s="25"/>
      <c r="C37" s="25"/>
      <c r="D37" s="25"/>
      <c r="E37" s="58"/>
      <c r="F37" s="58"/>
      <c r="G37" s="58"/>
      <c r="H37" s="58"/>
    </row>
    <row r="38" spans="2:8" x14ac:dyDescent="0.2">
      <c r="B38" s="25"/>
      <c r="C38" s="25"/>
      <c r="D38" s="25"/>
      <c r="E38" s="58"/>
      <c r="F38" s="58"/>
      <c r="G38" s="58"/>
      <c r="H38" s="58"/>
    </row>
    <row r="39" spans="2:8" x14ac:dyDescent="0.2">
      <c r="B39" s="25"/>
      <c r="C39" s="25"/>
      <c r="D39" s="25"/>
      <c r="E39" s="58"/>
      <c r="F39" s="58"/>
      <c r="G39" s="58"/>
      <c r="H39" s="58"/>
    </row>
    <row r="40" spans="2:8" x14ac:dyDescent="0.2">
      <c r="B40" s="25"/>
      <c r="C40" s="25"/>
      <c r="D40" s="25"/>
      <c r="E40" s="58"/>
      <c r="F40" s="58"/>
      <c r="G40" s="58"/>
      <c r="H40" s="58"/>
    </row>
    <row r="41" spans="2:8" x14ac:dyDescent="0.2">
      <c r="B41" s="25"/>
      <c r="C41" s="25"/>
      <c r="D41" s="25"/>
      <c r="E41" s="58"/>
      <c r="F41" s="58"/>
      <c r="G41" s="58"/>
      <c r="H41" s="58"/>
    </row>
    <row r="42" spans="2:8" x14ac:dyDescent="0.2">
      <c r="B42" s="25"/>
      <c r="C42" s="25"/>
      <c r="D42" s="25"/>
      <c r="E42" s="58"/>
      <c r="F42" s="58"/>
      <c r="G42" s="58"/>
      <c r="H42" s="58"/>
    </row>
    <row r="43" spans="2:8" x14ac:dyDescent="0.2">
      <c r="B43" s="25"/>
      <c r="C43" s="25"/>
      <c r="D43" s="25"/>
      <c r="E43" s="58"/>
      <c r="F43" s="58"/>
      <c r="G43" s="58"/>
      <c r="H43" s="58"/>
    </row>
    <row r="44" spans="2:8" x14ac:dyDescent="0.2">
      <c r="B44" s="25"/>
      <c r="C44" s="25"/>
      <c r="D44" s="25"/>
      <c r="E44" s="58"/>
      <c r="F44" s="58"/>
      <c r="G44" s="58"/>
      <c r="H44" s="58"/>
    </row>
    <row r="45" spans="2:8" x14ac:dyDescent="0.2">
      <c r="B45" s="25"/>
      <c r="C45" s="25"/>
      <c r="D45" s="25"/>
      <c r="E45" s="58"/>
      <c r="F45" s="58"/>
      <c r="G45" s="58"/>
      <c r="H45" s="58"/>
    </row>
    <row r="46" spans="2:8" x14ac:dyDescent="0.2">
      <c r="B46" s="25"/>
      <c r="C46" s="25"/>
      <c r="D46" s="25"/>
      <c r="E46" s="58"/>
      <c r="F46" s="58"/>
      <c r="G46" s="58"/>
      <c r="H46" s="58"/>
    </row>
    <row r="47" spans="2:8" x14ac:dyDescent="0.2">
      <c r="B47" s="25"/>
      <c r="C47" s="25"/>
      <c r="D47" s="25"/>
      <c r="E47" s="58"/>
      <c r="F47" s="58"/>
      <c r="G47" s="58"/>
      <c r="H47" s="58"/>
    </row>
    <row r="48" spans="2:8"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row>
    <row r="63" spans="2:8" x14ac:dyDescent="0.2">
      <c r="B63" s="25"/>
    </row>
    <row r="64" spans="2:8" x14ac:dyDescent="0.2">
      <c r="B64" s="25"/>
    </row>
    <row r="65" spans="2:2" x14ac:dyDescent="0.2">
      <c r="B65" s="25"/>
    </row>
    <row r="66" spans="2:2" x14ac:dyDescent="0.2">
      <c r="B66" s="25"/>
    </row>
    <row r="67" spans="2:2" x14ac:dyDescent="0.2">
      <c r="B67" s="25"/>
    </row>
    <row r="68" spans="2:2" x14ac:dyDescent="0.2">
      <c r="B68" s="25"/>
    </row>
    <row r="69" spans="2:2" x14ac:dyDescent="0.2">
      <c r="B69" s="25"/>
    </row>
    <row r="70" spans="2:2" x14ac:dyDescent="0.2">
      <c r="B70" s="25"/>
    </row>
    <row r="71" spans="2:2" x14ac:dyDescent="0.2">
      <c r="B71" s="25"/>
    </row>
    <row r="72" spans="2:2" x14ac:dyDescent="0.2">
      <c r="B72" s="25"/>
    </row>
    <row r="73" spans="2:2" x14ac:dyDescent="0.2">
      <c r="B73" s="25"/>
    </row>
    <row r="74" spans="2:2" x14ac:dyDescent="0.2">
      <c r="B74" s="25"/>
    </row>
    <row r="75" spans="2:2" x14ac:dyDescent="0.2">
      <c r="B75" s="25"/>
    </row>
    <row r="76" spans="2:2" x14ac:dyDescent="0.2">
      <c r="B76" s="25"/>
    </row>
    <row r="77" spans="2:2" x14ac:dyDescent="0.2">
      <c r="B77" s="25"/>
    </row>
    <row r="78" spans="2:2" x14ac:dyDescent="0.2">
      <c r="B78" s="25"/>
    </row>
  </sheetData>
  <mergeCells count="10">
    <mergeCell ref="A22:N22"/>
    <mergeCell ref="A23:N23"/>
    <mergeCell ref="A24:N24"/>
    <mergeCell ref="K2:K3"/>
    <mergeCell ref="A16:N16"/>
    <mergeCell ref="A17:N17"/>
    <mergeCell ref="A18:N18"/>
    <mergeCell ref="A19:N19"/>
    <mergeCell ref="A20:N20"/>
    <mergeCell ref="A21:N21"/>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fitToHeight="99" pageOrder="overThenDown" orientation="landscape" blackAndWhite="1"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5">
    <pageSetUpPr fitToPage="1"/>
  </sheetPr>
  <dimension ref="A1:Q8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2985</v>
      </c>
      <c r="C2" s="7" t="s">
        <v>77</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1496</v>
      </c>
      <c r="C4" s="10" t="s">
        <v>36</v>
      </c>
      <c r="D4" s="6"/>
      <c r="E4" s="11"/>
      <c r="F4" s="9"/>
      <c r="G4" s="11"/>
      <c r="H4" s="6"/>
      <c r="I4" s="11"/>
      <c r="J4" s="6"/>
      <c r="K4" s="11"/>
      <c r="L4" s="6"/>
      <c r="M4" s="11"/>
      <c r="N4" s="6"/>
    </row>
    <row r="5" spans="1:16" s="4" customFormat="1" ht="15.75" x14ac:dyDescent="0.2">
      <c r="A5" s="1" t="s">
        <v>183</v>
      </c>
      <c r="B5" s="12" t="s">
        <v>3024</v>
      </c>
      <c r="C5" s="12" t="s">
        <v>81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2713</v>
      </c>
      <c r="B11" s="36"/>
    </row>
    <row r="12" spans="1:16" s="40" customFormat="1" x14ac:dyDescent="0.2">
      <c r="A12" s="41" t="s">
        <v>2993</v>
      </c>
      <c r="B12" s="39"/>
      <c r="C12" s="97">
        <v>42785000</v>
      </c>
      <c r="D12" s="98"/>
      <c r="E12" s="97">
        <v>42500000</v>
      </c>
      <c r="F12" s="98"/>
      <c r="G12" s="97">
        <v>42500000</v>
      </c>
      <c r="H12" s="98"/>
      <c r="I12" s="97">
        <v>42500000</v>
      </c>
      <c r="J12" s="98"/>
      <c r="K12" s="97">
        <v>43250000</v>
      </c>
      <c r="M12" s="98"/>
    </row>
    <row r="13" spans="1:16" s="40" customFormat="1" x14ac:dyDescent="0.2">
      <c r="A13" s="41" t="s">
        <v>3025</v>
      </c>
      <c r="B13" s="39"/>
      <c r="C13" s="97">
        <v>3500000</v>
      </c>
      <c r="D13" s="98"/>
      <c r="E13" s="97">
        <v>3500000</v>
      </c>
      <c r="F13" s="98"/>
      <c r="G13" s="97">
        <v>3500000</v>
      </c>
      <c r="H13" s="98"/>
      <c r="I13" s="97">
        <v>3500000</v>
      </c>
      <c r="J13" s="98"/>
      <c r="K13" s="97">
        <v>3000000</v>
      </c>
      <c r="M13" s="98"/>
    </row>
    <row r="14" spans="1:16" s="40" customFormat="1" x14ac:dyDescent="0.2">
      <c r="A14" s="41" t="s">
        <v>3026</v>
      </c>
      <c r="B14" s="39"/>
      <c r="C14" s="82">
        <v>0.98</v>
      </c>
      <c r="D14" s="84"/>
      <c r="E14" s="82">
        <v>0.98</v>
      </c>
      <c r="F14" s="84"/>
      <c r="G14" s="93">
        <v>0.98</v>
      </c>
      <c r="H14" s="84"/>
      <c r="I14" s="82">
        <v>0.98</v>
      </c>
      <c r="J14" s="84"/>
      <c r="K14" s="82">
        <v>0.98</v>
      </c>
      <c r="M14" s="84"/>
    </row>
    <row r="15" spans="1:16" s="40" customFormat="1" x14ac:dyDescent="0.2">
      <c r="A15" s="41"/>
      <c r="B15" s="39"/>
    </row>
    <row r="16" spans="1:16" s="37" customFormat="1" x14ac:dyDescent="0.2">
      <c r="A16" s="35" t="s">
        <v>194</v>
      </c>
      <c r="B16" s="36"/>
    </row>
    <row r="17" spans="1:17" s="37" customFormat="1" x14ac:dyDescent="0.2">
      <c r="A17" s="35" t="s">
        <v>195</v>
      </c>
      <c r="B17" s="36"/>
    </row>
    <row r="18" spans="1:17" s="40" customFormat="1" x14ac:dyDescent="0.2">
      <c r="A18" s="41" t="s">
        <v>262</v>
      </c>
      <c r="B18" s="39"/>
      <c r="C18" s="62">
        <v>48</v>
      </c>
      <c r="E18" s="62">
        <v>43</v>
      </c>
      <c r="G18" s="62">
        <v>42</v>
      </c>
      <c r="I18" s="62">
        <v>43</v>
      </c>
      <c r="K18" s="62">
        <v>52</v>
      </c>
      <c r="M18" s="42"/>
    </row>
    <row r="19" spans="1:17" s="40" customFormat="1" x14ac:dyDescent="0.2">
      <c r="A19" s="41"/>
      <c r="B19" s="39"/>
      <c r="M19" s="42"/>
    </row>
    <row r="20" spans="1:17" s="48" customFormat="1" x14ac:dyDescent="0.2">
      <c r="A20" s="46"/>
      <c r="B20" s="47"/>
    </row>
    <row r="21" spans="1:17" s="48" customFormat="1" x14ac:dyDescent="0.2">
      <c r="A21" s="49" t="s">
        <v>200</v>
      </c>
      <c r="B21" s="50"/>
      <c r="C21" s="51"/>
      <c r="D21" s="52"/>
      <c r="E21" s="53"/>
      <c r="F21" s="52"/>
      <c r="G21" s="53"/>
      <c r="H21" s="52"/>
      <c r="I21" s="53"/>
      <c r="J21" s="52"/>
      <c r="K21" s="53"/>
      <c r="L21" s="52"/>
      <c r="M21" s="51"/>
      <c r="N21" s="52"/>
    </row>
    <row r="22" spans="1:17" ht="27.75" customHeight="1" x14ac:dyDescent="0.2">
      <c r="A22" s="1738" t="s">
        <v>2513</v>
      </c>
      <c r="B22" s="1736"/>
      <c r="C22" s="1737"/>
      <c r="D22" s="1736"/>
      <c r="E22" s="1737"/>
      <c r="F22" s="1736"/>
      <c r="G22" s="1737"/>
      <c r="H22" s="1736"/>
      <c r="I22" s="1737"/>
      <c r="J22" s="1736"/>
      <c r="K22" s="1737"/>
      <c r="L22" s="1736"/>
      <c r="M22" s="1737"/>
      <c r="N22" s="1736"/>
      <c r="O22" s="54"/>
      <c r="P22" s="54"/>
      <c r="Q22" s="951"/>
    </row>
    <row r="23" spans="1:17" ht="27.75" customHeight="1" x14ac:dyDescent="0.2">
      <c r="A23" s="1735"/>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ht="27.75" customHeight="1" x14ac:dyDescent="0.2">
      <c r="A25" s="1735"/>
      <c r="B25" s="1736"/>
      <c r="C25" s="1737"/>
      <c r="D25" s="1736"/>
      <c r="E25" s="1737"/>
      <c r="F25" s="1736"/>
      <c r="G25" s="1737"/>
      <c r="H25" s="1736"/>
      <c r="I25" s="1737"/>
      <c r="J25" s="1736"/>
      <c r="K25" s="1737"/>
      <c r="L25" s="1736"/>
      <c r="M25" s="1737"/>
      <c r="N25" s="1736"/>
      <c r="O25" s="54"/>
      <c r="P25" s="54"/>
    </row>
    <row r="26" spans="1:17" ht="27.75" customHeight="1" x14ac:dyDescent="0.2">
      <c r="A26" s="1735"/>
      <c r="B26" s="1736"/>
      <c r="C26" s="1737"/>
      <c r="D26" s="1736"/>
      <c r="E26" s="1737"/>
      <c r="F26" s="1736"/>
      <c r="G26" s="1737"/>
      <c r="H26" s="1736"/>
      <c r="I26" s="1737"/>
      <c r="J26" s="1736"/>
      <c r="K26" s="1737"/>
      <c r="L26" s="1736"/>
      <c r="M26" s="1737"/>
      <c r="N26" s="1736"/>
      <c r="O26" s="54"/>
      <c r="P26" s="54"/>
    </row>
    <row r="27" spans="1:17" ht="27.75" customHeight="1" x14ac:dyDescent="0.2">
      <c r="A27" s="1735"/>
      <c r="B27" s="1736"/>
      <c r="C27" s="1737"/>
      <c r="D27" s="1736"/>
      <c r="E27" s="1737"/>
      <c r="F27" s="1736"/>
      <c r="G27" s="1737"/>
      <c r="H27" s="1736"/>
      <c r="I27" s="1737"/>
      <c r="J27" s="1736"/>
      <c r="K27" s="1737"/>
      <c r="L27" s="1736"/>
      <c r="M27" s="1737"/>
      <c r="N27" s="1736"/>
      <c r="O27" s="54"/>
      <c r="P27" s="54"/>
    </row>
    <row r="28" spans="1:17" ht="27.75" customHeight="1" x14ac:dyDescent="0.2">
      <c r="A28" s="1735"/>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ht="27.75" customHeight="1" x14ac:dyDescent="0.2">
      <c r="A30" s="1735"/>
      <c r="B30" s="1736"/>
      <c r="C30" s="1737"/>
      <c r="D30" s="1736"/>
      <c r="E30" s="1737"/>
      <c r="F30" s="1736"/>
      <c r="G30" s="1737"/>
      <c r="H30" s="1736"/>
      <c r="I30" s="1737"/>
      <c r="J30" s="1736"/>
      <c r="K30" s="1737"/>
      <c r="L30" s="1736"/>
      <c r="M30" s="1737"/>
      <c r="N30" s="1736"/>
      <c r="O30" s="54"/>
      <c r="P30" s="54"/>
    </row>
    <row r="31" spans="1:17" ht="27.75" customHeight="1" x14ac:dyDescent="0.2">
      <c r="A31" s="1735"/>
      <c r="B31" s="1736"/>
      <c r="C31" s="1737"/>
      <c r="D31" s="1736"/>
      <c r="E31" s="1737"/>
      <c r="F31" s="1736"/>
      <c r="G31" s="1737"/>
      <c r="H31" s="1736"/>
      <c r="I31" s="1737"/>
      <c r="J31" s="1736"/>
      <c r="K31" s="1737"/>
      <c r="L31" s="1736"/>
      <c r="M31" s="1737"/>
      <c r="N31" s="1736"/>
      <c r="O31" s="54"/>
      <c r="P31" s="54"/>
    </row>
    <row r="32" spans="1:17" x14ac:dyDescent="0.2">
      <c r="A32" s="55"/>
      <c r="B32" s="54"/>
      <c r="C32" s="56"/>
      <c r="D32" s="54"/>
      <c r="E32" s="56"/>
      <c r="F32" s="54"/>
      <c r="G32" s="56"/>
      <c r="H32" s="54"/>
      <c r="I32" s="56"/>
      <c r="J32" s="54"/>
      <c r="K32" s="56"/>
      <c r="L32" s="54"/>
      <c r="M32" s="56"/>
      <c r="N32" s="54"/>
      <c r="O32" s="54"/>
      <c r="P32" s="54"/>
    </row>
    <row r="33" spans="1:17" x14ac:dyDescent="0.2">
      <c r="A33" s="55"/>
      <c r="B33" s="54"/>
      <c r="C33" s="54"/>
      <c r="D33" s="54"/>
      <c r="E33" s="54"/>
      <c r="F33" s="54"/>
      <c r="G33" s="54"/>
      <c r="H33" s="54"/>
      <c r="I33" s="54"/>
      <c r="J33" s="54"/>
      <c r="K33" s="54"/>
      <c r="L33" s="54"/>
      <c r="M33" s="54"/>
      <c r="N33" s="54"/>
      <c r="O33" s="54"/>
      <c r="P33" s="54"/>
    </row>
    <row r="34" spans="1:17" x14ac:dyDescent="0.2">
      <c r="A34" s="55"/>
      <c r="B34" s="54"/>
      <c r="C34" s="56"/>
      <c r="D34" s="54"/>
      <c r="E34" s="56"/>
      <c r="F34" s="54"/>
      <c r="G34" s="56"/>
      <c r="H34" s="54"/>
      <c r="I34" s="56"/>
      <c r="J34" s="54"/>
      <c r="K34" s="56"/>
      <c r="L34" s="54"/>
      <c r="M34" s="56"/>
      <c r="N34" s="54"/>
      <c r="O34" s="54"/>
      <c r="P34" s="54"/>
    </row>
    <row r="35" spans="1:17" x14ac:dyDescent="0.2">
      <c r="A35" s="55"/>
      <c r="B35" s="54"/>
      <c r="C35" s="54"/>
      <c r="D35" s="54"/>
      <c r="E35" s="54"/>
      <c r="F35" s="54"/>
      <c r="G35" s="54"/>
      <c r="H35" s="54"/>
      <c r="I35" s="54"/>
      <c r="J35" s="54"/>
      <c r="K35" s="54"/>
      <c r="L35" s="54"/>
      <c r="M35" s="54"/>
      <c r="N35" s="54"/>
      <c r="O35" s="54"/>
      <c r="P35" s="54"/>
    </row>
    <row r="36" spans="1:17" x14ac:dyDescent="0.2">
      <c r="A36" s="55"/>
      <c r="B36" s="54"/>
      <c r="C36" s="56"/>
      <c r="D36" s="54"/>
      <c r="E36" s="56"/>
      <c r="F36" s="54"/>
      <c r="G36" s="56"/>
      <c r="H36" s="54"/>
      <c r="I36" s="56"/>
      <c r="J36" s="54"/>
      <c r="K36" s="56"/>
      <c r="L36" s="54"/>
      <c r="M36" s="56"/>
      <c r="N36" s="54"/>
      <c r="O36" s="54"/>
      <c r="P36" s="54"/>
    </row>
    <row r="37" spans="1:17" x14ac:dyDescent="0.2">
      <c r="A37" s="55"/>
      <c r="B37" s="54"/>
      <c r="C37" s="54"/>
      <c r="D37" s="54"/>
      <c r="E37" s="54"/>
      <c r="F37" s="54"/>
      <c r="G37" s="54"/>
      <c r="H37" s="54"/>
      <c r="I37" s="54"/>
      <c r="J37" s="54"/>
      <c r="K37" s="54"/>
      <c r="L37" s="54"/>
      <c r="M37" s="54"/>
      <c r="N37" s="54"/>
      <c r="O37" s="54"/>
      <c r="P37" s="54"/>
    </row>
    <row r="38" spans="1:17" x14ac:dyDescent="0.2">
      <c r="A38" s="55"/>
      <c r="B38" s="54"/>
      <c r="C38" s="54"/>
      <c r="D38" s="54"/>
      <c r="E38" s="54"/>
      <c r="F38" s="54"/>
      <c r="G38" s="54"/>
      <c r="H38" s="54"/>
      <c r="I38" s="54"/>
      <c r="J38" s="54"/>
      <c r="K38" s="54"/>
      <c r="L38" s="54"/>
      <c r="M38" s="54"/>
      <c r="N38" s="54"/>
      <c r="O38" s="54"/>
      <c r="P38" s="54"/>
    </row>
    <row r="39" spans="1:17" x14ac:dyDescent="0.2">
      <c r="A39" s="55"/>
      <c r="B39" s="54"/>
      <c r="C39" s="54"/>
      <c r="D39" s="54"/>
      <c r="E39" s="54"/>
      <c r="F39" s="54"/>
      <c r="G39" s="54"/>
      <c r="H39" s="54"/>
      <c r="I39" s="54"/>
      <c r="J39" s="54"/>
      <c r="K39" s="54"/>
      <c r="L39" s="54"/>
      <c r="M39" s="54"/>
      <c r="N39" s="54"/>
      <c r="O39" s="54"/>
      <c r="P39" s="54"/>
      <c r="Q39" s="57"/>
    </row>
    <row r="40" spans="1:17" x14ac:dyDescent="0.2">
      <c r="B40" s="25"/>
      <c r="C40" s="25"/>
      <c r="D40" s="25"/>
      <c r="E40" s="58"/>
      <c r="F40" s="58"/>
      <c r="G40" s="58"/>
      <c r="H40" s="58"/>
    </row>
    <row r="41" spans="1:17" x14ac:dyDescent="0.2">
      <c r="B41" s="25"/>
      <c r="C41" s="25"/>
      <c r="D41" s="25"/>
      <c r="E41" s="58"/>
      <c r="F41" s="58"/>
      <c r="G41" s="58"/>
      <c r="H41" s="58"/>
    </row>
    <row r="42" spans="1:17" x14ac:dyDescent="0.2">
      <c r="B42" s="25"/>
      <c r="C42" s="25"/>
      <c r="D42" s="25"/>
      <c r="E42" s="58"/>
      <c r="F42" s="58"/>
      <c r="G42" s="58"/>
      <c r="H42" s="58"/>
    </row>
    <row r="43" spans="1:17" x14ac:dyDescent="0.2">
      <c r="B43" s="25"/>
      <c r="C43" s="25"/>
      <c r="D43" s="25"/>
      <c r="E43" s="58"/>
      <c r="F43" s="58"/>
      <c r="G43" s="58"/>
      <c r="H43" s="58"/>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sheetData>
  <mergeCells count="11">
    <mergeCell ref="A28:N28"/>
    <mergeCell ref="A29:N29"/>
    <mergeCell ref="A30:N30"/>
    <mergeCell ref="A31:N31"/>
    <mergeCell ref="K2:K3"/>
    <mergeCell ref="A22:N22"/>
    <mergeCell ref="A23:N23"/>
    <mergeCell ref="A24:N24"/>
    <mergeCell ref="A25:N25"/>
    <mergeCell ref="A26:N26"/>
    <mergeCell ref="A27:N27"/>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fitToHeight="99" pageOrder="overThenDown" orientation="landscape" blackAndWhite="1"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6">
    <pageSetUpPr fitToPage="1"/>
  </sheetPr>
  <dimension ref="A1:Q78"/>
  <sheetViews>
    <sheetView showGridLines="0" workbookViewId="0">
      <pane xSplit="2" ySplit="9" topLeftCell="C10" activePane="bottomRight" state="frozen"/>
      <selection pane="topRight" activeCell="C1" sqref="C1"/>
      <selection pane="bottomLeft" activeCell="A10" sqref="A10"/>
      <selection pane="bottomRight" activeCell="K2" sqref="K2:K3"/>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7" s="4" customFormat="1" ht="15.75" x14ac:dyDescent="0.2">
      <c r="A1" s="1" t="s">
        <v>174</v>
      </c>
      <c r="B1" s="2">
        <v>2019</v>
      </c>
      <c r="C1" s="3"/>
      <c r="E1" s="3"/>
      <c r="G1" s="5"/>
      <c r="I1" s="5"/>
      <c r="J1" s="6"/>
      <c r="K1" s="5"/>
      <c r="L1" s="6"/>
      <c r="M1" s="5"/>
      <c r="N1" s="6"/>
    </row>
    <row r="2" spans="1:17" s="4" customFormat="1" ht="15.75" x14ac:dyDescent="0.25">
      <c r="A2" s="1" t="s">
        <v>175</v>
      </c>
      <c r="B2" s="7" t="s">
        <v>2985</v>
      </c>
      <c r="C2" s="7" t="s">
        <v>77</v>
      </c>
      <c r="D2" s="6"/>
      <c r="E2" s="8"/>
      <c r="F2" s="9"/>
      <c r="G2" s="8"/>
      <c r="H2" s="6"/>
      <c r="I2" s="8"/>
      <c r="J2" s="6"/>
      <c r="K2" s="1733" t="s">
        <v>171</v>
      </c>
      <c r="L2" s="6"/>
      <c r="M2" s="8"/>
      <c r="N2" s="6"/>
    </row>
    <row r="3" spans="1:17" s="4" customFormat="1" ht="15.75" x14ac:dyDescent="0.25">
      <c r="A3" s="1" t="s">
        <v>177</v>
      </c>
      <c r="B3" s="10" t="s">
        <v>1766</v>
      </c>
      <c r="C3" s="10" t="s">
        <v>2441</v>
      </c>
      <c r="D3" s="6"/>
      <c r="E3" s="11"/>
      <c r="F3" s="9"/>
      <c r="G3" s="11"/>
      <c r="H3" s="6"/>
      <c r="I3" s="11"/>
      <c r="J3" s="6"/>
      <c r="K3" s="1734"/>
      <c r="L3" s="6"/>
      <c r="M3" s="11"/>
      <c r="N3" s="6"/>
    </row>
    <row r="4" spans="1:17" s="4" customFormat="1" ht="15.75" x14ac:dyDescent="0.25">
      <c r="A4" s="1" t="s">
        <v>180</v>
      </c>
      <c r="B4" s="10" t="s">
        <v>1496</v>
      </c>
      <c r="C4" s="10" t="s">
        <v>36</v>
      </c>
      <c r="D4" s="6"/>
      <c r="E4" s="11"/>
      <c r="F4" s="9"/>
      <c r="G4" s="11"/>
      <c r="H4" s="6"/>
      <c r="I4" s="11"/>
      <c r="J4" s="6"/>
      <c r="K4" s="11"/>
      <c r="L4" s="6"/>
      <c r="M4" s="11"/>
      <c r="N4" s="6"/>
    </row>
    <row r="5" spans="1:17" s="4" customFormat="1" ht="15.75" x14ac:dyDescent="0.2">
      <c r="A5" s="1" t="s">
        <v>183</v>
      </c>
      <c r="B5" s="12" t="s">
        <v>3027</v>
      </c>
      <c r="C5" s="12" t="s">
        <v>3028</v>
      </c>
      <c r="D5" s="13"/>
      <c r="E5" s="14"/>
      <c r="G5" s="14"/>
      <c r="I5" s="14"/>
      <c r="K5" s="14"/>
      <c r="M5" s="14"/>
    </row>
    <row r="6" spans="1:17" s="4" customFormat="1" ht="15.75" x14ac:dyDescent="0.25">
      <c r="A6" s="15" t="s">
        <v>186</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187</v>
      </c>
      <c r="L7" s="23"/>
      <c r="M7" s="22" t="s">
        <v>187</v>
      </c>
      <c r="N7" s="23"/>
    </row>
    <row r="8" spans="1:17"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7"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7" s="37" customFormat="1" x14ac:dyDescent="0.2">
      <c r="A10" s="35" t="s">
        <v>194</v>
      </c>
      <c r="B10" s="36"/>
    </row>
    <row r="11" spans="1:17" s="37" customFormat="1" x14ac:dyDescent="0.2">
      <c r="A11" s="35" t="s">
        <v>195</v>
      </c>
      <c r="B11" s="36"/>
    </row>
    <row r="12" spans="1:17" s="40" customFormat="1" x14ac:dyDescent="0.2">
      <c r="A12" s="41" t="s">
        <v>262</v>
      </c>
      <c r="B12" s="39"/>
      <c r="C12" s="77">
        <v>29</v>
      </c>
      <c r="E12" s="77">
        <v>33</v>
      </c>
      <c r="G12" s="77">
        <v>33</v>
      </c>
      <c r="I12" s="77">
        <v>30</v>
      </c>
      <c r="K12" s="77">
        <v>33</v>
      </c>
      <c r="M12" s="77"/>
    </row>
    <row r="13" spans="1:17" s="48" customFormat="1" x14ac:dyDescent="0.2">
      <c r="A13" s="46"/>
      <c r="B13" s="47"/>
    </row>
    <row r="14" spans="1:17" s="48" customFormat="1" x14ac:dyDescent="0.2">
      <c r="A14" s="49" t="s">
        <v>200</v>
      </c>
      <c r="B14" s="50"/>
      <c r="C14" s="51"/>
      <c r="D14" s="52"/>
      <c r="E14" s="53"/>
      <c r="F14" s="52"/>
      <c r="G14" s="53"/>
      <c r="H14" s="52"/>
      <c r="I14" s="53"/>
      <c r="J14" s="52"/>
      <c r="K14" s="53"/>
      <c r="L14" s="52"/>
      <c r="M14" s="51"/>
      <c r="N14" s="52"/>
    </row>
    <row r="15" spans="1:17" ht="27.75" customHeight="1" x14ac:dyDescent="0.2">
      <c r="A15" s="1738" t="s">
        <v>218</v>
      </c>
      <c r="B15" s="1736"/>
      <c r="C15" s="1737"/>
      <c r="D15" s="1736"/>
      <c r="E15" s="1737"/>
      <c r="F15" s="1736"/>
      <c r="G15" s="1737"/>
      <c r="H15" s="1736"/>
      <c r="I15" s="1737"/>
      <c r="J15" s="1736"/>
      <c r="K15" s="1737"/>
      <c r="L15" s="1736"/>
      <c r="M15" s="1737"/>
      <c r="N15" s="1736"/>
      <c r="O15" s="54"/>
      <c r="P15" s="54"/>
      <c r="Q15" s="951"/>
    </row>
    <row r="16" spans="1:17" ht="27.75" customHeight="1" x14ac:dyDescent="0.2">
      <c r="A16" s="1735"/>
      <c r="B16" s="1736"/>
      <c r="C16" s="1737"/>
      <c r="D16" s="1736"/>
      <c r="E16" s="1737"/>
      <c r="F16" s="1736"/>
      <c r="G16" s="1737"/>
      <c r="H16" s="1736"/>
      <c r="I16" s="1737"/>
      <c r="J16" s="1736"/>
      <c r="K16" s="1737"/>
      <c r="L16" s="1736"/>
      <c r="M16" s="1737"/>
      <c r="N16" s="1736"/>
      <c r="O16" s="54"/>
      <c r="P16" s="54"/>
    </row>
    <row r="17" spans="1:17" ht="27.75" customHeight="1" x14ac:dyDescent="0.2">
      <c r="A17" s="1735"/>
      <c r="B17" s="1736"/>
      <c r="C17" s="1737"/>
      <c r="D17" s="1736"/>
      <c r="E17" s="1737"/>
      <c r="F17" s="1736"/>
      <c r="G17" s="1737"/>
      <c r="H17" s="1736"/>
      <c r="I17" s="1737"/>
      <c r="J17" s="1736"/>
      <c r="K17" s="1737"/>
      <c r="L17" s="1736"/>
      <c r="M17" s="1737"/>
      <c r="N17" s="1736"/>
      <c r="O17" s="54"/>
      <c r="P17" s="54"/>
    </row>
    <row r="18" spans="1:17" ht="27.75" customHeight="1" x14ac:dyDescent="0.2">
      <c r="A18" s="1735"/>
      <c r="B18" s="1736"/>
      <c r="C18" s="1737"/>
      <c r="D18" s="1736"/>
      <c r="E18" s="1737"/>
      <c r="F18" s="1736"/>
      <c r="G18" s="1737"/>
      <c r="H18" s="1736"/>
      <c r="I18" s="1737"/>
      <c r="J18" s="1736"/>
      <c r="K18" s="1737"/>
      <c r="L18" s="1736"/>
      <c r="M18" s="1737"/>
      <c r="N18" s="1736"/>
      <c r="O18" s="54"/>
      <c r="P18" s="54"/>
    </row>
    <row r="19" spans="1:17" ht="27.75" customHeight="1" x14ac:dyDescent="0.2">
      <c r="A19" s="1735"/>
      <c r="B19" s="1736"/>
      <c r="C19" s="1737"/>
      <c r="D19" s="1736"/>
      <c r="E19" s="1737"/>
      <c r="F19" s="1736"/>
      <c r="G19" s="1737"/>
      <c r="H19" s="1736"/>
      <c r="I19" s="1737"/>
      <c r="J19" s="1736"/>
      <c r="K19" s="1737"/>
      <c r="L19" s="1736"/>
      <c r="M19" s="1737"/>
      <c r="N19" s="1736"/>
      <c r="O19" s="54"/>
      <c r="P19" s="54"/>
    </row>
    <row r="20" spans="1:17" ht="27.75" customHeight="1" x14ac:dyDescent="0.2">
      <c r="A20" s="1735"/>
      <c r="B20" s="1736"/>
      <c r="C20" s="1737"/>
      <c r="D20" s="1736"/>
      <c r="E20" s="1737"/>
      <c r="F20" s="1736"/>
      <c r="G20" s="1737"/>
      <c r="H20" s="1736"/>
      <c r="I20" s="1737"/>
      <c r="J20" s="1736"/>
      <c r="K20" s="1737"/>
      <c r="L20" s="1736"/>
      <c r="M20" s="1737"/>
      <c r="N20" s="1736"/>
      <c r="O20" s="54"/>
      <c r="P20" s="54"/>
    </row>
    <row r="21" spans="1:17" ht="27.75" customHeight="1" x14ac:dyDescent="0.2">
      <c r="A21" s="1735"/>
      <c r="B21" s="1736"/>
      <c r="C21" s="1737"/>
      <c r="D21" s="1736"/>
      <c r="E21" s="1737"/>
      <c r="F21" s="1736"/>
      <c r="G21" s="1737"/>
      <c r="H21" s="1736"/>
      <c r="I21" s="1737"/>
      <c r="J21" s="1736"/>
      <c r="K21" s="1737"/>
      <c r="L21" s="1736"/>
      <c r="M21" s="1737"/>
      <c r="N21" s="1736"/>
      <c r="O21" s="54"/>
      <c r="P21" s="54"/>
    </row>
    <row r="22" spans="1:17" ht="27.75" customHeight="1" x14ac:dyDescent="0.2">
      <c r="A22" s="1735"/>
      <c r="B22" s="1736"/>
      <c r="C22" s="1737"/>
      <c r="D22" s="1736"/>
      <c r="E22" s="1737"/>
      <c r="F22" s="1736"/>
      <c r="G22" s="1737"/>
      <c r="H22" s="1736"/>
      <c r="I22" s="1737"/>
      <c r="J22" s="1736"/>
      <c r="K22" s="1737"/>
      <c r="L22" s="1736"/>
      <c r="M22" s="1737"/>
      <c r="N22" s="1736"/>
      <c r="O22" s="54"/>
      <c r="P22" s="54"/>
    </row>
    <row r="23" spans="1:17" ht="27.75" customHeight="1" x14ac:dyDescent="0.2">
      <c r="A23" s="1735"/>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x14ac:dyDescent="0.2">
      <c r="A25" s="55"/>
      <c r="B25" s="54"/>
      <c r="C25" s="56"/>
      <c r="D25" s="54"/>
      <c r="E25" s="56"/>
      <c r="F25" s="54"/>
      <c r="G25" s="56"/>
      <c r="H25" s="54"/>
      <c r="I25" s="56"/>
      <c r="J25" s="54"/>
      <c r="K25" s="56"/>
      <c r="L25" s="54"/>
      <c r="M25" s="56"/>
      <c r="N25" s="54"/>
      <c r="O25" s="54"/>
      <c r="P25" s="54"/>
    </row>
    <row r="26" spans="1:17" x14ac:dyDescent="0.2">
      <c r="A26" s="55"/>
      <c r="B26" s="54"/>
      <c r="C26" s="54"/>
      <c r="D26" s="54"/>
      <c r="E26" s="54"/>
      <c r="F26" s="54"/>
      <c r="G26" s="54"/>
      <c r="H26" s="54"/>
      <c r="I26" s="54"/>
      <c r="J26" s="54"/>
      <c r="K26" s="54"/>
      <c r="L26" s="54"/>
      <c r="M26" s="54"/>
      <c r="N26" s="54"/>
      <c r="O26" s="54"/>
      <c r="P26" s="54"/>
    </row>
    <row r="27" spans="1:17" x14ac:dyDescent="0.2">
      <c r="A27" s="55"/>
      <c r="B27" s="54"/>
      <c r="C27" s="56"/>
      <c r="D27" s="54"/>
      <c r="E27" s="56"/>
      <c r="F27" s="54"/>
      <c r="G27" s="56"/>
      <c r="H27" s="54"/>
      <c r="I27" s="56"/>
      <c r="J27" s="54"/>
      <c r="K27" s="56"/>
      <c r="L27" s="54"/>
      <c r="M27" s="56"/>
      <c r="N27" s="54"/>
      <c r="O27" s="54"/>
      <c r="P27" s="54"/>
    </row>
    <row r="28" spans="1:17" x14ac:dyDescent="0.2">
      <c r="A28" s="55"/>
      <c r="B28" s="54"/>
      <c r="C28" s="54"/>
      <c r="D28" s="54"/>
      <c r="E28" s="54"/>
      <c r="F28" s="54"/>
      <c r="G28" s="54"/>
      <c r="H28" s="54"/>
      <c r="I28" s="54"/>
      <c r="J28" s="54"/>
      <c r="K28" s="54"/>
      <c r="L28" s="54"/>
      <c r="M28" s="54"/>
      <c r="N28" s="54"/>
      <c r="O28" s="54"/>
      <c r="P28" s="54"/>
    </row>
    <row r="29" spans="1:17" x14ac:dyDescent="0.2">
      <c r="A29" s="55"/>
      <c r="B29" s="54"/>
      <c r="C29" s="56"/>
      <c r="D29" s="54"/>
      <c r="E29" s="56"/>
      <c r="F29" s="54"/>
      <c r="G29" s="56"/>
      <c r="H29" s="54"/>
      <c r="I29" s="56"/>
      <c r="J29" s="54"/>
      <c r="K29" s="56"/>
      <c r="L29" s="54"/>
      <c r="M29" s="56"/>
      <c r="N29" s="54"/>
      <c r="O29" s="54"/>
      <c r="P29" s="54"/>
    </row>
    <row r="30" spans="1:17" x14ac:dyDescent="0.2">
      <c r="A30" s="55"/>
      <c r="B30" s="54"/>
      <c r="C30" s="54"/>
      <c r="D30" s="54"/>
      <c r="E30" s="54"/>
      <c r="F30" s="54"/>
      <c r="G30" s="54"/>
      <c r="H30" s="54"/>
      <c r="I30" s="54"/>
      <c r="J30" s="54"/>
      <c r="K30" s="54"/>
      <c r="L30" s="54"/>
      <c r="M30" s="54"/>
      <c r="N30" s="54"/>
      <c r="O30" s="54"/>
      <c r="P30" s="54"/>
    </row>
    <row r="31" spans="1:17" x14ac:dyDescent="0.2">
      <c r="A31" s="55"/>
      <c r="B31" s="54"/>
      <c r="C31" s="54"/>
      <c r="D31" s="54"/>
      <c r="E31" s="54"/>
      <c r="F31" s="54"/>
      <c r="G31" s="54"/>
      <c r="H31" s="54"/>
      <c r="I31" s="54"/>
      <c r="J31" s="54"/>
      <c r="K31" s="54"/>
      <c r="L31" s="54"/>
      <c r="M31" s="54"/>
      <c r="N31" s="54"/>
      <c r="O31" s="54"/>
      <c r="P31" s="54"/>
    </row>
    <row r="32" spans="1:17" x14ac:dyDescent="0.2">
      <c r="A32" s="55"/>
      <c r="B32" s="54"/>
      <c r="C32" s="54"/>
      <c r="D32" s="54"/>
      <c r="E32" s="54"/>
      <c r="F32" s="54"/>
      <c r="G32" s="54"/>
      <c r="H32" s="54"/>
      <c r="I32" s="54"/>
      <c r="J32" s="54"/>
      <c r="K32" s="54"/>
      <c r="L32" s="54"/>
      <c r="M32" s="54"/>
      <c r="N32" s="54"/>
      <c r="O32" s="54"/>
      <c r="P32" s="54"/>
      <c r="Q32" s="57"/>
    </row>
    <row r="33" spans="2:8" x14ac:dyDescent="0.2">
      <c r="B33" s="25"/>
      <c r="C33" s="25"/>
      <c r="D33" s="25"/>
      <c r="E33" s="58"/>
      <c r="F33" s="58"/>
      <c r="G33" s="58"/>
      <c r="H33" s="58"/>
    </row>
    <row r="34" spans="2:8" x14ac:dyDescent="0.2">
      <c r="B34" s="25"/>
      <c r="C34" s="25"/>
      <c r="D34" s="25"/>
      <c r="E34" s="58"/>
      <c r="F34" s="58"/>
      <c r="G34" s="58"/>
      <c r="H34" s="58"/>
    </row>
    <row r="35" spans="2:8" x14ac:dyDescent="0.2">
      <c r="B35" s="25"/>
      <c r="C35" s="25"/>
      <c r="D35" s="25"/>
      <c r="E35" s="58"/>
      <c r="F35" s="58"/>
      <c r="G35" s="58"/>
      <c r="H35" s="58"/>
    </row>
    <row r="36" spans="2:8" x14ac:dyDescent="0.2">
      <c r="B36" s="25"/>
      <c r="C36" s="25"/>
      <c r="D36" s="25"/>
      <c r="E36" s="58"/>
      <c r="F36" s="58"/>
      <c r="G36" s="58"/>
      <c r="H36" s="58"/>
    </row>
    <row r="37" spans="2:8" x14ac:dyDescent="0.2">
      <c r="B37" s="25"/>
      <c r="C37" s="25"/>
      <c r="D37" s="25"/>
      <c r="E37" s="58"/>
      <c r="F37" s="58"/>
      <c r="G37" s="58"/>
      <c r="H37" s="58"/>
    </row>
    <row r="38" spans="2:8" x14ac:dyDescent="0.2">
      <c r="B38" s="25"/>
      <c r="C38" s="25"/>
      <c r="D38" s="25"/>
      <c r="E38" s="58"/>
      <c r="F38" s="58"/>
      <c r="G38" s="58"/>
      <c r="H38" s="58"/>
    </row>
    <row r="39" spans="2:8" x14ac:dyDescent="0.2">
      <c r="B39" s="25"/>
      <c r="C39" s="25"/>
      <c r="D39" s="25"/>
      <c r="E39" s="58"/>
      <c r="F39" s="58"/>
      <c r="G39" s="58"/>
      <c r="H39" s="58"/>
    </row>
    <row r="40" spans="2:8" x14ac:dyDescent="0.2">
      <c r="B40" s="25"/>
      <c r="C40" s="25"/>
      <c r="D40" s="25"/>
      <c r="E40" s="58"/>
      <c r="F40" s="58"/>
      <c r="G40" s="58"/>
      <c r="H40" s="58"/>
    </row>
    <row r="41" spans="2:8" x14ac:dyDescent="0.2">
      <c r="B41" s="25"/>
      <c r="C41" s="25"/>
      <c r="D41" s="25"/>
      <c r="E41" s="58"/>
      <c r="F41" s="58"/>
      <c r="G41" s="58"/>
      <c r="H41" s="58"/>
    </row>
    <row r="42" spans="2:8" x14ac:dyDescent="0.2">
      <c r="B42" s="25"/>
      <c r="C42" s="25"/>
      <c r="D42" s="25"/>
      <c r="E42" s="58"/>
      <c r="F42" s="58"/>
      <c r="G42" s="58"/>
      <c r="H42" s="58"/>
    </row>
    <row r="43" spans="2:8" x14ac:dyDescent="0.2">
      <c r="B43" s="25"/>
      <c r="C43" s="25"/>
      <c r="D43" s="25"/>
      <c r="E43" s="58"/>
      <c r="F43" s="58"/>
      <c r="G43" s="58"/>
      <c r="H43" s="58"/>
    </row>
    <row r="44" spans="2:8" x14ac:dyDescent="0.2">
      <c r="B44" s="25"/>
      <c r="C44" s="25"/>
      <c r="D44" s="25"/>
      <c r="E44" s="58"/>
      <c r="F44" s="58"/>
      <c r="G44" s="58"/>
      <c r="H44" s="58"/>
    </row>
    <row r="45" spans="2:8" x14ac:dyDescent="0.2">
      <c r="B45" s="25"/>
      <c r="C45" s="25"/>
      <c r="D45" s="25"/>
      <c r="E45" s="58"/>
      <c r="F45" s="58"/>
      <c r="G45" s="58"/>
      <c r="H45" s="58"/>
    </row>
    <row r="46" spans="2:8" x14ac:dyDescent="0.2">
      <c r="B46" s="25"/>
      <c r="C46" s="25"/>
      <c r="D46" s="25"/>
      <c r="E46" s="58"/>
      <c r="F46" s="58"/>
      <c r="G46" s="58"/>
      <c r="H46" s="58"/>
    </row>
    <row r="47" spans="2:8" x14ac:dyDescent="0.2">
      <c r="B47" s="25"/>
      <c r="C47" s="25"/>
      <c r="D47" s="25"/>
      <c r="E47" s="58"/>
      <c r="F47" s="58"/>
      <c r="G47" s="58"/>
      <c r="H47" s="58"/>
    </row>
    <row r="48" spans="2:8"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row>
    <row r="63" spans="2:8" x14ac:dyDescent="0.2">
      <c r="B63" s="25"/>
    </row>
    <row r="64" spans="2:8" x14ac:dyDescent="0.2">
      <c r="B64" s="25"/>
    </row>
    <row r="65" spans="2:2" x14ac:dyDescent="0.2">
      <c r="B65" s="25"/>
    </row>
    <row r="66" spans="2:2" x14ac:dyDescent="0.2">
      <c r="B66" s="25"/>
    </row>
    <row r="67" spans="2:2" x14ac:dyDescent="0.2">
      <c r="B67" s="25"/>
    </row>
    <row r="68" spans="2:2" x14ac:dyDescent="0.2">
      <c r="B68" s="25"/>
    </row>
    <row r="69" spans="2:2" x14ac:dyDescent="0.2">
      <c r="B69" s="25"/>
    </row>
    <row r="70" spans="2:2" x14ac:dyDescent="0.2">
      <c r="B70" s="25"/>
    </row>
    <row r="71" spans="2:2" x14ac:dyDescent="0.2">
      <c r="B71" s="25"/>
    </row>
    <row r="72" spans="2:2" x14ac:dyDescent="0.2">
      <c r="B72" s="25"/>
    </row>
    <row r="73" spans="2:2" x14ac:dyDescent="0.2">
      <c r="B73" s="25"/>
    </row>
    <row r="74" spans="2:2" x14ac:dyDescent="0.2">
      <c r="B74" s="25"/>
    </row>
    <row r="75" spans="2:2" x14ac:dyDescent="0.2">
      <c r="B75" s="25"/>
    </row>
    <row r="76" spans="2:2" x14ac:dyDescent="0.2">
      <c r="B76" s="25"/>
    </row>
    <row r="77" spans="2:2" x14ac:dyDescent="0.2">
      <c r="B77" s="25"/>
    </row>
    <row r="78" spans="2:2" x14ac:dyDescent="0.2">
      <c r="B78" s="25"/>
    </row>
  </sheetData>
  <mergeCells count="11">
    <mergeCell ref="A21:N21"/>
    <mergeCell ref="A22:N22"/>
    <mergeCell ref="A23:N23"/>
    <mergeCell ref="A24:N24"/>
    <mergeCell ref="K2:K3"/>
    <mergeCell ref="A15:N15"/>
    <mergeCell ref="A16:N16"/>
    <mergeCell ref="A17:N17"/>
    <mergeCell ref="A18:N18"/>
    <mergeCell ref="A19:N19"/>
    <mergeCell ref="A20:N20"/>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fitToHeight="99" pageOrder="overThenDown"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8">
    <pageSetUpPr fitToPage="1"/>
  </sheetPr>
  <dimension ref="A1:R9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4.855468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8" s="4" customFormat="1" ht="15.75" x14ac:dyDescent="0.2">
      <c r="A1" s="1" t="s">
        <v>174</v>
      </c>
      <c r="B1" s="2">
        <v>2019</v>
      </c>
      <c r="C1" s="3"/>
      <c r="E1" s="3"/>
      <c r="G1" s="5"/>
      <c r="I1" s="5"/>
      <c r="J1" s="6"/>
      <c r="K1" s="5"/>
      <c r="L1" s="6"/>
      <c r="M1" s="5"/>
      <c r="N1" s="6"/>
    </row>
    <row r="2" spans="1:18" s="4" customFormat="1" ht="15.75" x14ac:dyDescent="0.25">
      <c r="A2" s="1" t="s">
        <v>175</v>
      </c>
      <c r="B2" s="7" t="s">
        <v>176</v>
      </c>
      <c r="C2" s="7" t="s">
        <v>0</v>
      </c>
      <c r="D2" s="6"/>
      <c r="E2" s="8"/>
      <c r="F2" s="9"/>
      <c r="G2" s="8"/>
      <c r="H2" s="6"/>
      <c r="I2" s="8"/>
      <c r="J2" s="6"/>
      <c r="K2" s="1733" t="s">
        <v>171</v>
      </c>
      <c r="L2" s="6"/>
      <c r="M2" s="8"/>
      <c r="N2" s="6"/>
    </row>
    <row r="3" spans="1:18" s="4" customFormat="1" ht="15.75" x14ac:dyDescent="0.25">
      <c r="A3" s="1" t="s">
        <v>177</v>
      </c>
      <c r="B3" s="10" t="s">
        <v>417</v>
      </c>
      <c r="C3" s="10" t="s">
        <v>418</v>
      </c>
      <c r="D3" s="6"/>
      <c r="E3" s="11"/>
      <c r="F3" s="9"/>
      <c r="G3" s="11"/>
      <c r="H3" s="6"/>
      <c r="I3" s="11"/>
      <c r="J3" s="6"/>
      <c r="K3" s="1734"/>
      <c r="L3" s="6"/>
      <c r="M3" s="11"/>
      <c r="N3" s="6"/>
    </row>
    <row r="4" spans="1:18" s="4" customFormat="1" ht="15.75" x14ac:dyDescent="0.25">
      <c r="A4" s="1" t="s">
        <v>180</v>
      </c>
      <c r="B4" s="10" t="s">
        <v>341</v>
      </c>
      <c r="C4" s="10" t="s">
        <v>4</v>
      </c>
      <c r="D4" s="6"/>
      <c r="E4" s="11"/>
      <c r="F4" s="9"/>
      <c r="G4" s="11"/>
      <c r="H4" s="6"/>
      <c r="I4" s="11"/>
      <c r="J4" s="6"/>
      <c r="K4" s="11"/>
      <c r="L4" s="6"/>
      <c r="M4" s="11"/>
      <c r="N4" s="6"/>
    </row>
    <row r="5" spans="1:18" s="4" customFormat="1" ht="15.75" x14ac:dyDescent="0.2">
      <c r="A5" s="1" t="s">
        <v>183</v>
      </c>
      <c r="B5" s="12" t="s">
        <v>211</v>
      </c>
      <c r="C5" s="12" t="s">
        <v>211</v>
      </c>
      <c r="D5" s="13"/>
      <c r="E5" s="14"/>
      <c r="G5" s="14"/>
      <c r="I5" s="14"/>
      <c r="K5" s="14"/>
      <c r="M5" s="14"/>
    </row>
    <row r="6" spans="1:18" s="4" customFormat="1" ht="15.75" x14ac:dyDescent="0.25">
      <c r="A6" s="15" t="s">
        <v>186</v>
      </c>
      <c r="B6" s="16">
        <v>4</v>
      </c>
      <c r="C6" s="17"/>
      <c r="D6" s="18"/>
      <c r="E6" s="19"/>
      <c r="F6" s="9"/>
      <c r="G6" s="8"/>
      <c r="H6" s="6"/>
      <c r="I6" s="8"/>
      <c r="J6" s="6"/>
      <c r="K6" s="8"/>
      <c r="L6" s="6"/>
      <c r="M6" s="8"/>
      <c r="N6" s="6"/>
    </row>
    <row r="7" spans="1:18" s="24" customFormat="1" x14ac:dyDescent="0.2">
      <c r="A7" s="20"/>
      <c r="B7" s="21"/>
      <c r="C7" s="22"/>
      <c r="D7" s="23"/>
      <c r="E7" s="22"/>
      <c r="F7" s="23"/>
      <c r="G7" s="22"/>
      <c r="H7" s="23"/>
      <c r="I7" s="22"/>
      <c r="J7" s="23"/>
      <c r="K7" s="22" t="s">
        <v>187</v>
      </c>
      <c r="L7" s="23"/>
      <c r="M7" s="22" t="s">
        <v>187</v>
      </c>
      <c r="N7" s="23"/>
    </row>
    <row r="8" spans="1:18"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8"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8" s="37" customFormat="1" x14ac:dyDescent="0.2">
      <c r="A10" s="35" t="s">
        <v>222</v>
      </c>
      <c r="B10" s="36"/>
    </row>
    <row r="11" spans="1:18" s="37" customFormat="1" x14ac:dyDescent="0.2">
      <c r="A11" s="35" t="s">
        <v>467</v>
      </c>
      <c r="B11" s="36"/>
    </row>
    <row r="12" spans="1:18" s="40" customFormat="1" x14ac:dyDescent="0.2">
      <c r="A12" s="41" t="s">
        <v>468</v>
      </c>
      <c r="B12" s="39"/>
      <c r="C12" s="104">
        <v>25</v>
      </c>
      <c r="E12" s="104">
        <v>25</v>
      </c>
      <c r="F12" s="104"/>
      <c r="G12" s="104">
        <v>25</v>
      </c>
      <c r="H12" s="104"/>
      <c r="I12" s="104">
        <v>25</v>
      </c>
      <c r="J12" s="104"/>
      <c r="K12" s="104">
        <v>25</v>
      </c>
      <c r="M12" s="77"/>
      <c r="O12" s="70"/>
      <c r="P12" s="70"/>
      <c r="Q12" s="70"/>
      <c r="R12" s="70"/>
    </row>
    <row r="13" spans="1:18" s="40" customFormat="1" x14ac:dyDescent="0.2">
      <c r="A13" s="41" t="s">
        <v>469</v>
      </c>
      <c r="B13" s="39"/>
      <c r="C13" s="104">
        <v>350000</v>
      </c>
      <c r="E13" s="104">
        <v>350000</v>
      </c>
      <c r="F13" s="104"/>
      <c r="G13" s="104">
        <v>350000</v>
      </c>
      <c r="H13" s="104"/>
      <c r="I13" s="104">
        <v>350000</v>
      </c>
      <c r="J13" s="104"/>
      <c r="K13" s="104">
        <v>350000</v>
      </c>
      <c r="M13" s="77"/>
    </row>
    <row r="14" spans="1:18" s="40" customFormat="1" x14ac:dyDescent="0.2">
      <c r="A14" s="41" t="s">
        <v>470</v>
      </c>
      <c r="B14" s="39"/>
      <c r="C14" s="104">
        <v>34</v>
      </c>
      <c r="E14" s="104">
        <v>35</v>
      </c>
      <c r="F14" s="104"/>
      <c r="G14" s="104">
        <v>35</v>
      </c>
      <c r="H14" s="104"/>
      <c r="I14" s="104">
        <v>35</v>
      </c>
      <c r="J14" s="104"/>
      <c r="K14" s="104">
        <v>33</v>
      </c>
      <c r="M14" s="77"/>
    </row>
    <row r="15" spans="1:18" s="40" customFormat="1" x14ac:dyDescent="0.2">
      <c r="A15" s="41" t="s">
        <v>471</v>
      </c>
      <c r="B15" s="39"/>
      <c r="C15" s="104">
        <v>2273</v>
      </c>
      <c r="E15" s="104">
        <v>2276</v>
      </c>
      <c r="F15" s="104"/>
      <c r="G15" s="104">
        <v>2250</v>
      </c>
      <c r="H15" s="104"/>
      <c r="I15" s="104">
        <v>2250</v>
      </c>
      <c r="J15" s="104"/>
      <c r="K15" s="104">
        <v>1850</v>
      </c>
      <c r="M15" s="77"/>
    </row>
    <row r="16" spans="1:18" s="40" customFormat="1" x14ac:dyDescent="0.2">
      <c r="A16" s="41"/>
      <c r="B16" s="39"/>
      <c r="M16" s="77"/>
    </row>
    <row r="17" spans="1:13" s="40" customFormat="1" x14ac:dyDescent="0.2">
      <c r="A17" s="41" t="s">
        <v>472</v>
      </c>
      <c r="B17" s="39"/>
      <c r="M17" s="77"/>
    </row>
    <row r="18" spans="1:13" s="40" customFormat="1" x14ac:dyDescent="0.2">
      <c r="A18" s="90" t="s">
        <v>473</v>
      </c>
      <c r="B18" s="39"/>
      <c r="C18" s="104">
        <v>297354</v>
      </c>
      <c r="E18" s="104">
        <v>283759</v>
      </c>
      <c r="F18" s="104"/>
      <c r="G18" s="104">
        <v>300000</v>
      </c>
      <c r="H18" s="104"/>
      <c r="I18" s="104">
        <v>300000</v>
      </c>
      <c r="J18" s="104"/>
      <c r="K18" s="104">
        <v>400000</v>
      </c>
      <c r="M18" s="77"/>
    </row>
    <row r="19" spans="1:13" s="40" customFormat="1" x14ac:dyDescent="0.2">
      <c r="A19" s="90" t="s">
        <v>474</v>
      </c>
      <c r="B19" s="39"/>
      <c r="C19" s="104">
        <v>794000</v>
      </c>
      <c r="E19" s="104">
        <v>757698</v>
      </c>
      <c r="F19" s="104"/>
      <c r="G19" s="104">
        <v>800000</v>
      </c>
      <c r="H19" s="104"/>
      <c r="I19" s="104">
        <v>800000</v>
      </c>
      <c r="J19" s="104"/>
      <c r="K19" s="104">
        <v>1068000</v>
      </c>
      <c r="M19" s="77"/>
    </row>
    <row r="20" spans="1:13" s="40" customFormat="1" x14ac:dyDescent="0.2">
      <c r="A20" s="90" t="s">
        <v>475</v>
      </c>
      <c r="B20" s="39"/>
      <c r="C20" s="276">
        <v>96570399</v>
      </c>
      <c r="E20" s="276">
        <v>99830119.099999994</v>
      </c>
      <c r="F20" s="276"/>
      <c r="G20" s="276">
        <v>105000000</v>
      </c>
      <c r="H20" s="276"/>
      <c r="I20" s="276">
        <v>105000000</v>
      </c>
      <c r="J20" s="276"/>
      <c r="K20" s="276">
        <v>105000000</v>
      </c>
      <c r="M20" s="98"/>
    </row>
    <row r="21" spans="1:13" s="40" customFormat="1" x14ac:dyDescent="0.2">
      <c r="A21" s="90" t="s">
        <v>476</v>
      </c>
      <c r="B21" s="39"/>
      <c r="C21" s="276">
        <v>325</v>
      </c>
      <c r="E21" s="276">
        <v>352</v>
      </c>
      <c r="F21" s="276"/>
      <c r="G21" s="276">
        <v>350</v>
      </c>
      <c r="H21" s="276"/>
      <c r="I21" s="276">
        <v>350</v>
      </c>
      <c r="J21" s="276"/>
      <c r="K21" s="276">
        <v>263</v>
      </c>
      <c r="M21" s="98"/>
    </row>
    <row r="22" spans="1:13" s="40" customFormat="1" x14ac:dyDescent="0.2">
      <c r="A22" s="90"/>
      <c r="B22" s="39"/>
      <c r="C22" s="64"/>
      <c r="D22" s="64"/>
      <c r="E22" s="64"/>
      <c r="M22" s="64"/>
    </row>
    <row r="23" spans="1:13" s="40" customFormat="1" x14ac:dyDescent="0.2">
      <c r="A23" s="41"/>
      <c r="B23" s="39"/>
      <c r="M23" s="64"/>
    </row>
    <row r="24" spans="1:13" s="37" customFormat="1" x14ac:dyDescent="0.2">
      <c r="A24" s="35" t="s">
        <v>194</v>
      </c>
      <c r="B24" s="36"/>
    </row>
    <row r="25" spans="1:13" s="37" customFormat="1" x14ac:dyDescent="0.2">
      <c r="A25" s="35" t="s">
        <v>195</v>
      </c>
      <c r="B25" s="36"/>
    </row>
    <row r="26" spans="1:13" s="40" customFormat="1" x14ac:dyDescent="0.2">
      <c r="A26" s="38" t="s">
        <v>196</v>
      </c>
      <c r="B26" s="39"/>
    </row>
    <row r="27" spans="1:13" s="40" customFormat="1" hidden="1" x14ac:dyDescent="0.2">
      <c r="A27" s="41" t="s">
        <v>197</v>
      </c>
      <c r="B27" s="39"/>
      <c r="C27" s="70">
        <v>0</v>
      </c>
      <c r="D27" s="70"/>
      <c r="E27" s="70"/>
      <c r="F27" s="70"/>
      <c r="G27" s="70">
        <v>0</v>
      </c>
      <c r="I27" s="70">
        <v>0</v>
      </c>
      <c r="M27" s="70"/>
    </row>
    <row r="28" spans="1:13" s="40" customFormat="1" x14ac:dyDescent="0.2">
      <c r="A28" s="41" t="s">
        <v>261</v>
      </c>
      <c r="B28" s="39"/>
      <c r="C28" s="70">
        <v>34</v>
      </c>
      <c r="D28" s="70"/>
      <c r="E28" s="70">
        <v>33</v>
      </c>
      <c r="F28" s="70"/>
      <c r="G28" s="70">
        <v>33</v>
      </c>
      <c r="H28" s="70"/>
      <c r="I28" s="70">
        <v>35</v>
      </c>
      <c r="J28" s="70"/>
      <c r="K28" s="70">
        <v>35</v>
      </c>
      <c r="M28" s="70"/>
    </row>
    <row r="29" spans="1:13" s="40" customFormat="1" hidden="1" x14ac:dyDescent="0.2">
      <c r="A29" s="41" t="s">
        <v>333</v>
      </c>
      <c r="B29" s="39"/>
      <c r="C29" s="70">
        <v>0</v>
      </c>
      <c r="D29" s="70"/>
      <c r="E29" s="70"/>
      <c r="F29" s="70"/>
      <c r="G29" s="70">
        <v>0</v>
      </c>
      <c r="H29" s="70"/>
      <c r="I29" s="70">
        <v>0</v>
      </c>
      <c r="J29" s="70"/>
      <c r="K29" s="70"/>
      <c r="M29" s="70"/>
    </row>
    <row r="30" spans="1:13" s="40" customFormat="1" x14ac:dyDescent="0.2">
      <c r="A30" s="41" t="s">
        <v>198</v>
      </c>
      <c r="B30" s="39"/>
      <c r="C30" s="70">
        <f>SUM(C27:C29)</f>
        <v>34</v>
      </c>
      <c r="D30" s="70"/>
      <c r="E30" s="70">
        <v>33</v>
      </c>
      <c r="F30" s="70"/>
      <c r="G30" s="70">
        <f>SUM(G27:G29)</f>
        <v>33</v>
      </c>
      <c r="H30" s="70"/>
      <c r="I30" s="70">
        <v>35</v>
      </c>
      <c r="J30" s="70"/>
      <c r="K30" s="70">
        <v>35</v>
      </c>
      <c r="M30" s="70"/>
    </row>
    <row r="31" spans="1:13" s="40" customFormat="1" x14ac:dyDescent="0.2">
      <c r="A31" s="38" t="s">
        <v>199</v>
      </c>
      <c r="B31" s="39"/>
      <c r="C31" s="70"/>
      <c r="D31" s="70"/>
      <c r="E31" s="70"/>
      <c r="F31" s="70"/>
      <c r="G31" s="70"/>
      <c r="H31" s="70"/>
      <c r="I31" s="70"/>
      <c r="J31" s="70"/>
      <c r="K31" s="70"/>
    </row>
    <row r="32" spans="1:13" s="40" customFormat="1" x14ac:dyDescent="0.2">
      <c r="A32" s="41" t="s">
        <v>467</v>
      </c>
      <c r="B32" s="39"/>
      <c r="C32" s="70">
        <v>34</v>
      </c>
      <c r="D32" s="70"/>
      <c r="E32" s="70">
        <v>33</v>
      </c>
      <c r="F32" s="70"/>
      <c r="G32" s="70">
        <v>33</v>
      </c>
      <c r="I32" s="70">
        <v>35</v>
      </c>
      <c r="K32" s="70">
        <v>35</v>
      </c>
      <c r="M32" s="70"/>
    </row>
    <row r="33" spans="1:17" s="40" customFormat="1" x14ac:dyDescent="0.2">
      <c r="A33" s="41" t="s">
        <v>198</v>
      </c>
      <c r="B33" s="39"/>
      <c r="C33" s="70">
        <v>34</v>
      </c>
      <c r="D33" s="70"/>
      <c r="E33" s="70">
        <v>33</v>
      </c>
      <c r="F33" s="70"/>
      <c r="G33" s="70">
        <f>SUM(G32)</f>
        <v>33</v>
      </c>
      <c r="H33" s="70"/>
      <c r="I33" s="70">
        <v>35</v>
      </c>
      <c r="J33" s="70"/>
      <c r="K33" s="70">
        <v>35</v>
      </c>
      <c r="M33" s="70"/>
    </row>
    <row r="34" spans="1:17" s="37" customFormat="1" x14ac:dyDescent="0.2">
      <c r="A34" s="35"/>
      <c r="B34" s="36"/>
    </row>
    <row r="35" spans="1:17" s="48" customFormat="1" x14ac:dyDescent="0.2">
      <c r="A35" s="46"/>
      <c r="B35" s="47"/>
    </row>
    <row r="36" spans="1:17" s="48" customFormat="1" x14ac:dyDescent="0.2">
      <c r="A36" s="49" t="s">
        <v>200</v>
      </c>
      <c r="B36" s="50"/>
      <c r="C36" s="51"/>
      <c r="D36" s="52"/>
      <c r="E36" s="53"/>
      <c r="F36" s="52"/>
      <c r="G36" s="53"/>
      <c r="H36" s="52"/>
      <c r="I36" s="53"/>
      <c r="J36" s="52"/>
      <c r="K36" s="53"/>
      <c r="L36" s="52"/>
      <c r="M36" s="51"/>
      <c r="N36" s="52"/>
    </row>
    <row r="37" spans="1:17" ht="26.25" customHeight="1" x14ac:dyDescent="0.2">
      <c r="A37" s="1738" t="s">
        <v>477</v>
      </c>
      <c r="B37" s="1736"/>
      <c r="C37" s="1737"/>
      <c r="D37" s="1736"/>
      <c r="E37" s="1737"/>
      <c r="F37" s="1736"/>
      <c r="G37" s="1737"/>
      <c r="H37" s="1736"/>
      <c r="I37" s="1737"/>
      <c r="J37" s="1736"/>
      <c r="K37" s="1737"/>
      <c r="L37" s="1736"/>
      <c r="M37" s="1737"/>
      <c r="N37" s="1736"/>
      <c r="O37" s="54"/>
      <c r="P37" s="54"/>
      <c r="Q37" s="951"/>
    </row>
    <row r="38" spans="1:17" s="48" customFormat="1" x14ac:dyDescent="0.2">
      <c r="B38" s="1426"/>
      <c r="C38" s="277"/>
      <c r="D38" s="278"/>
      <c r="E38" s="1426"/>
      <c r="F38" s="278"/>
      <c r="G38" s="279"/>
      <c r="H38" s="280"/>
      <c r="I38" s="279"/>
      <c r="J38" s="280"/>
      <c r="K38" s="279"/>
      <c r="L38" s="280"/>
      <c r="M38" s="279"/>
      <c r="N38" s="280"/>
    </row>
    <row r="39" spans="1:17" s="48" customFormat="1" x14ac:dyDescent="0.2">
      <c r="A39" s="275"/>
      <c r="B39" s="281"/>
      <c r="C39" s="277"/>
      <c r="D39" s="278"/>
      <c r="E39" s="277"/>
      <c r="F39" s="278"/>
      <c r="G39" s="279"/>
      <c r="H39" s="280"/>
      <c r="I39" s="279"/>
      <c r="J39" s="280"/>
      <c r="K39" s="279"/>
      <c r="L39" s="280"/>
      <c r="M39" s="279"/>
      <c r="N39" s="280"/>
    </row>
    <row r="40" spans="1:17" x14ac:dyDescent="0.2">
      <c r="A40" s="1738"/>
      <c r="B40" s="1748"/>
      <c r="C40" s="1749"/>
      <c r="D40" s="1748"/>
      <c r="E40" s="1749"/>
      <c r="F40" s="1748"/>
      <c r="G40" s="1749"/>
      <c r="H40" s="1748"/>
      <c r="I40" s="1749"/>
      <c r="J40" s="1748"/>
      <c r="K40" s="1749"/>
      <c r="L40" s="1748"/>
      <c r="M40" s="1749"/>
      <c r="N40" s="1748"/>
      <c r="O40" s="54"/>
      <c r="P40" s="54"/>
    </row>
    <row r="41" spans="1:17" x14ac:dyDescent="0.2">
      <c r="A41" s="282"/>
      <c r="B41" s="283"/>
      <c r="C41" s="284"/>
      <c r="D41" s="284"/>
      <c r="E41" s="285"/>
      <c r="F41" s="286"/>
      <c r="G41" s="285"/>
      <c r="H41" s="286"/>
      <c r="I41" s="285"/>
      <c r="J41" s="286"/>
      <c r="K41" s="285"/>
      <c r="L41" s="286"/>
      <c r="M41" s="285"/>
      <c r="N41" s="286"/>
      <c r="O41" s="54"/>
      <c r="P41" s="54"/>
    </row>
    <row r="42" spans="1:17" x14ac:dyDescent="0.2">
      <c r="B42" s="54"/>
      <c r="C42" s="287"/>
      <c r="D42" s="288"/>
      <c r="E42" s="287"/>
      <c r="F42" s="288"/>
      <c r="G42" s="287"/>
      <c r="H42" s="288"/>
      <c r="I42" s="287"/>
      <c r="J42" s="288"/>
      <c r="K42" s="287"/>
      <c r="L42" s="288"/>
      <c r="M42" s="287"/>
      <c r="N42" s="288"/>
      <c r="O42" s="54"/>
      <c r="P42" s="54"/>
    </row>
    <row r="43" spans="1:17" x14ac:dyDescent="0.2">
      <c r="A43" s="275"/>
      <c r="B43" s="54"/>
      <c r="C43" s="107"/>
      <c r="D43" s="54"/>
      <c r="E43" s="107"/>
      <c r="F43" s="54"/>
      <c r="G43" s="107"/>
      <c r="H43" s="54"/>
      <c r="I43" s="107"/>
      <c r="J43" s="54"/>
      <c r="K43" s="107"/>
      <c r="L43" s="54"/>
      <c r="M43" s="107"/>
      <c r="N43" s="54"/>
      <c r="O43" s="54"/>
      <c r="P43" s="54"/>
    </row>
    <row r="44" spans="1:17" x14ac:dyDescent="0.2">
      <c r="A44" s="275"/>
      <c r="B44" s="54"/>
      <c r="C44" s="56"/>
      <c r="D44" s="54"/>
      <c r="E44" s="56"/>
      <c r="F44" s="54"/>
      <c r="G44" s="56"/>
      <c r="H44" s="54"/>
      <c r="I44" s="56"/>
      <c r="J44" s="54"/>
      <c r="K44" s="56"/>
      <c r="L44" s="54"/>
      <c r="M44" s="56"/>
      <c r="N44" s="54"/>
      <c r="O44" s="54"/>
      <c r="P44" s="54"/>
    </row>
    <row r="45" spans="1:17" x14ac:dyDescent="0.2">
      <c r="A45" s="289"/>
      <c r="B45" s="54"/>
      <c r="C45" s="107"/>
      <c r="D45" s="54"/>
      <c r="E45" s="107"/>
      <c r="F45" s="54"/>
      <c r="G45" s="107"/>
      <c r="H45" s="54"/>
      <c r="I45" s="107"/>
      <c r="J45" s="54"/>
      <c r="K45" s="107"/>
      <c r="L45" s="54"/>
      <c r="M45" s="107"/>
      <c r="N45" s="54"/>
      <c r="O45" s="54"/>
      <c r="P45" s="54"/>
    </row>
    <row r="46" spans="1:17" x14ac:dyDescent="0.2">
      <c r="A46" s="275"/>
      <c r="B46" s="54"/>
      <c r="C46" s="56"/>
      <c r="D46" s="54"/>
      <c r="E46" s="56"/>
      <c r="F46" s="54"/>
      <c r="G46" s="56"/>
      <c r="H46" s="54"/>
      <c r="I46" s="56"/>
      <c r="J46" s="54"/>
      <c r="K46" s="56"/>
      <c r="L46" s="54"/>
      <c r="M46" s="56"/>
      <c r="N46" s="54"/>
      <c r="O46" s="54"/>
      <c r="P46" s="54"/>
    </row>
    <row r="47" spans="1:17" x14ac:dyDescent="0.2">
      <c r="A47" s="55"/>
      <c r="B47" s="54"/>
      <c r="C47" s="54"/>
      <c r="D47" s="54"/>
      <c r="E47" s="54"/>
      <c r="F47" s="54"/>
      <c r="G47" s="54"/>
      <c r="H47" s="54"/>
      <c r="I47" s="54"/>
      <c r="J47" s="54"/>
      <c r="K47" s="54"/>
      <c r="L47" s="54"/>
      <c r="M47" s="54"/>
      <c r="N47" s="54"/>
      <c r="O47" s="54"/>
      <c r="P47" s="54"/>
    </row>
    <row r="48" spans="1:17" x14ac:dyDescent="0.2">
      <c r="A48" s="55"/>
      <c r="B48" s="54"/>
      <c r="C48" s="56"/>
      <c r="D48" s="54"/>
      <c r="E48" s="56"/>
      <c r="F48" s="54"/>
      <c r="G48" s="56"/>
      <c r="H48" s="54"/>
      <c r="I48" s="56"/>
      <c r="J48" s="54"/>
      <c r="K48" s="56"/>
      <c r="L48" s="54"/>
      <c r="M48" s="56"/>
      <c r="N48" s="54"/>
      <c r="O48" s="54"/>
      <c r="P48" s="54"/>
    </row>
    <row r="49" spans="1:17" x14ac:dyDescent="0.2">
      <c r="A49" s="55"/>
      <c r="B49" s="54"/>
      <c r="C49" s="54"/>
      <c r="D49" s="54"/>
      <c r="E49" s="54"/>
      <c r="F49" s="54"/>
      <c r="G49" s="54"/>
      <c r="H49" s="54"/>
      <c r="I49" s="54"/>
      <c r="J49" s="54"/>
      <c r="K49" s="54"/>
      <c r="L49" s="54"/>
      <c r="M49" s="54"/>
      <c r="N49" s="54"/>
      <c r="O49" s="54"/>
      <c r="P49" s="54"/>
    </row>
    <row r="50" spans="1:17" x14ac:dyDescent="0.2">
      <c r="A50" s="55"/>
      <c r="B50" s="54"/>
      <c r="C50" s="54"/>
      <c r="D50" s="54"/>
      <c r="E50" s="54"/>
      <c r="F50" s="54"/>
      <c r="G50" s="54"/>
      <c r="H50" s="54"/>
      <c r="I50" s="54"/>
      <c r="J50" s="54"/>
      <c r="K50" s="54"/>
      <c r="L50" s="54"/>
      <c r="M50" s="54"/>
      <c r="N50" s="54"/>
      <c r="O50" s="54"/>
      <c r="P50" s="54"/>
    </row>
    <row r="51" spans="1:17" x14ac:dyDescent="0.2">
      <c r="A51" s="55"/>
      <c r="B51" s="54"/>
      <c r="C51" s="54"/>
      <c r="D51" s="54"/>
      <c r="E51" s="54"/>
      <c r="F51" s="54"/>
      <c r="G51" s="54"/>
      <c r="H51" s="54"/>
      <c r="I51" s="54"/>
      <c r="J51" s="54"/>
      <c r="K51" s="54"/>
      <c r="L51" s="54"/>
      <c r="M51" s="54"/>
      <c r="N51" s="54"/>
      <c r="O51" s="54"/>
      <c r="P51" s="54"/>
      <c r="Q51" s="57"/>
    </row>
    <row r="52" spans="1:17" x14ac:dyDescent="0.2">
      <c r="B52" s="25"/>
      <c r="C52" s="25"/>
      <c r="D52" s="25"/>
      <c r="E52" s="58"/>
      <c r="F52" s="58"/>
      <c r="G52" s="58"/>
      <c r="H52" s="58"/>
    </row>
    <row r="53" spans="1:17" x14ac:dyDescent="0.2">
      <c r="B53" s="25"/>
      <c r="C53" s="25"/>
      <c r="D53" s="25"/>
      <c r="E53" s="58"/>
      <c r="F53" s="58"/>
      <c r="G53" s="58"/>
      <c r="H53" s="58"/>
    </row>
    <row r="54" spans="1:17" x14ac:dyDescent="0.2">
      <c r="B54" s="25"/>
      <c r="C54" s="25"/>
      <c r="D54" s="25"/>
      <c r="E54" s="58"/>
      <c r="F54" s="58"/>
      <c r="G54" s="58"/>
      <c r="H54" s="58"/>
    </row>
    <row r="55" spans="1:17" x14ac:dyDescent="0.2">
      <c r="B55" s="25"/>
      <c r="C55" s="25"/>
      <c r="D55" s="25"/>
      <c r="E55" s="58"/>
      <c r="F55" s="58"/>
      <c r="G55" s="58"/>
      <c r="H55" s="58"/>
    </row>
    <row r="56" spans="1:17" x14ac:dyDescent="0.2">
      <c r="B56" s="25"/>
      <c r="C56" s="25"/>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row r="94" spans="2:2" x14ac:dyDescent="0.2">
      <c r="B94" s="25"/>
    </row>
    <row r="95" spans="2:2" x14ac:dyDescent="0.2">
      <c r="B95" s="25"/>
    </row>
    <row r="96" spans="2:2" x14ac:dyDescent="0.2">
      <c r="B96" s="25"/>
    </row>
    <row r="97" spans="2:2" x14ac:dyDescent="0.2">
      <c r="B97" s="25"/>
    </row>
  </sheetData>
  <mergeCells count="3">
    <mergeCell ref="A37:N37"/>
    <mergeCell ref="A40:N40"/>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5" fitToHeight="95" pageOrder="overThenDown"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7">
    <pageSetUpPr fitToPage="1"/>
  </sheetPr>
  <dimension ref="A1:P9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11"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4.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417</v>
      </c>
      <c r="C3" s="10" t="s">
        <v>418</v>
      </c>
      <c r="D3" s="6"/>
      <c r="E3" s="11"/>
      <c r="F3" s="9"/>
      <c r="G3" s="11"/>
      <c r="H3" s="6"/>
      <c r="I3" s="11"/>
      <c r="J3" s="6"/>
      <c r="K3" s="1734"/>
      <c r="L3" s="6"/>
      <c r="M3" s="11"/>
      <c r="N3" s="6"/>
    </row>
    <row r="4" spans="1:16" s="4" customFormat="1" ht="15.75" x14ac:dyDescent="0.25">
      <c r="A4" s="1" t="s">
        <v>180</v>
      </c>
      <c r="B4" s="10" t="s">
        <v>478</v>
      </c>
      <c r="C4" s="10" t="s">
        <v>6</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24" customFormat="1" x14ac:dyDescent="0.2">
      <c r="A10" s="290" t="s">
        <v>222</v>
      </c>
      <c r="B10" s="291"/>
      <c r="M10" s="292"/>
      <c r="N10" s="292"/>
    </row>
    <row r="11" spans="1:16" s="24" customFormat="1" x14ac:dyDescent="0.2">
      <c r="A11" s="293" t="s">
        <v>479</v>
      </c>
      <c r="B11" s="294"/>
      <c r="M11" s="292"/>
      <c r="N11" s="292"/>
    </row>
    <row r="12" spans="1:16" s="24" customFormat="1" x14ac:dyDescent="0.2">
      <c r="A12" s="295" t="s">
        <v>480</v>
      </c>
      <c r="B12" s="296"/>
      <c r="M12" s="292"/>
      <c r="N12" s="292"/>
    </row>
    <row r="13" spans="1:16" s="24" customFormat="1" x14ac:dyDescent="0.2">
      <c r="A13" s="297" t="s">
        <v>481</v>
      </c>
      <c r="B13" s="296"/>
      <c r="C13" s="298">
        <v>4750</v>
      </c>
      <c r="D13" s="299"/>
      <c r="E13" s="298">
        <v>1040</v>
      </c>
      <c r="F13" s="298"/>
      <c r="G13" s="298">
        <v>4750</v>
      </c>
      <c r="H13" s="300"/>
      <c r="I13" s="298">
        <v>2000</v>
      </c>
      <c r="J13" s="300"/>
      <c r="K13" s="298">
        <v>2000</v>
      </c>
      <c r="M13" s="302"/>
      <c r="N13" s="292"/>
    </row>
    <row r="14" spans="1:16" s="24" customFormat="1" x14ac:dyDescent="0.2">
      <c r="A14" s="297" t="s">
        <v>482</v>
      </c>
      <c r="B14" s="296"/>
      <c r="C14" s="303">
        <v>31</v>
      </c>
      <c r="D14" s="299"/>
      <c r="E14" s="303">
        <v>20</v>
      </c>
      <c r="F14" s="298"/>
      <c r="G14" s="298">
        <v>20</v>
      </c>
      <c r="H14" s="300"/>
      <c r="I14" s="303">
        <v>20</v>
      </c>
      <c r="J14" s="300"/>
      <c r="K14" s="303">
        <v>20</v>
      </c>
      <c r="M14" s="304"/>
      <c r="N14" s="292"/>
    </row>
    <row r="15" spans="1:16" s="24" customFormat="1" x14ac:dyDescent="0.2">
      <c r="A15" s="297" t="s">
        <v>483</v>
      </c>
      <c r="B15" s="296"/>
      <c r="C15" s="303">
        <v>24</v>
      </c>
      <c r="D15" s="299"/>
      <c r="E15" s="303">
        <v>23</v>
      </c>
      <c r="F15" s="298"/>
      <c r="G15" s="298">
        <v>20</v>
      </c>
      <c r="H15" s="300"/>
      <c r="I15" s="303">
        <v>25</v>
      </c>
      <c r="J15" s="300"/>
      <c r="K15" s="303">
        <v>25</v>
      </c>
      <c r="M15" s="304"/>
      <c r="N15" s="292"/>
    </row>
    <row r="16" spans="1:16" s="24" customFormat="1" x14ac:dyDescent="0.2">
      <c r="A16" s="297" t="s">
        <v>484</v>
      </c>
      <c r="B16" s="296"/>
      <c r="C16" s="303">
        <v>5</v>
      </c>
      <c r="D16" s="299"/>
      <c r="E16" s="303">
        <v>5</v>
      </c>
      <c r="F16" s="298"/>
      <c r="G16" s="298">
        <v>5</v>
      </c>
      <c r="H16" s="300"/>
      <c r="I16" s="303">
        <v>5</v>
      </c>
      <c r="J16" s="300"/>
      <c r="K16" s="303">
        <v>5</v>
      </c>
      <c r="M16" s="304"/>
      <c r="N16" s="292"/>
    </row>
    <row r="17" spans="1:14" s="24" customFormat="1" x14ac:dyDescent="0.2">
      <c r="A17" s="297" t="s">
        <v>485</v>
      </c>
      <c r="B17" s="296"/>
      <c r="C17" s="303">
        <v>25</v>
      </c>
      <c r="D17" s="299"/>
      <c r="E17" s="303">
        <v>25</v>
      </c>
      <c r="F17" s="298"/>
      <c r="G17" s="298">
        <v>18</v>
      </c>
      <c r="H17" s="300"/>
      <c r="I17" s="303">
        <v>18</v>
      </c>
      <c r="J17" s="300"/>
      <c r="K17" s="303">
        <v>18</v>
      </c>
      <c r="M17" s="304"/>
      <c r="N17" s="292"/>
    </row>
    <row r="18" spans="1:14" s="24" customFormat="1" x14ac:dyDescent="0.2">
      <c r="A18" s="297" t="s">
        <v>486</v>
      </c>
      <c r="B18" s="296"/>
      <c r="C18" s="303">
        <v>525</v>
      </c>
      <c r="D18" s="299"/>
      <c r="E18" s="303">
        <v>473</v>
      </c>
      <c r="F18" s="298"/>
      <c r="G18" s="298">
        <v>550</v>
      </c>
      <c r="H18" s="300"/>
      <c r="I18" s="303">
        <v>550</v>
      </c>
      <c r="J18" s="300"/>
      <c r="K18" s="303">
        <v>545</v>
      </c>
      <c r="M18" s="304"/>
      <c r="N18" s="292"/>
    </row>
    <row r="19" spans="1:14" s="24" customFormat="1" x14ac:dyDescent="0.2">
      <c r="A19" s="297" t="s">
        <v>487</v>
      </c>
      <c r="B19" s="296"/>
      <c r="C19" s="303">
        <v>200</v>
      </c>
      <c r="D19" s="299"/>
      <c r="E19" s="303">
        <v>242</v>
      </c>
      <c r="F19" s="298"/>
      <c r="G19" s="298">
        <v>250</v>
      </c>
      <c r="H19" s="300"/>
      <c r="I19" s="303">
        <v>250</v>
      </c>
      <c r="J19" s="300"/>
      <c r="K19" s="303">
        <v>352</v>
      </c>
      <c r="M19" s="304"/>
      <c r="N19" s="292"/>
    </row>
    <row r="20" spans="1:14" s="24" customFormat="1" x14ac:dyDescent="0.2">
      <c r="A20" s="297" t="s">
        <v>488</v>
      </c>
      <c r="B20" s="296"/>
      <c r="C20" s="303">
        <v>1</v>
      </c>
      <c r="D20" s="299"/>
      <c r="E20" s="303">
        <v>1</v>
      </c>
      <c r="F20" s="298"/>
      <c r="G20" s="298">
        <v>1</v>
      </c>
      <c r="H20" s="300"/>
      <c r="I20" s="303">
        <v>1</v>
      </c>
      <c r="J20" s="300"/>
      <c r="K20" s="303">
        <v>1</v>
      </c>
      <c r="M20" s="304"/>
      <c r="N20" s="292"/>
    </row>
    <row r="21" spans="1:14" s="24" customFormat="1" x14ac:dyDescent="0.2">
      <c r="A21" s="297" t="s">
        <v>489</v>
      </c>
      <c r="B21" s="296"/>
      <c r="C21" s="303">
        <v>120</v>
      </c>
      <c r="D21" s="299"/>
      <c r="E21" s="303">
        <v>81</v>
      </c>
      <c r="F21" s="298"/>
      <c r="G21" s="298">
        <v>150</v>
      </c>
      <c r="H21" s="300"/>
      <c r="I21" s="303">
        <v>150</v>
      </c>
      <c r="J21" s="300"/>
      <c r="K21" s="303">
        <v>117</v>
      </c>
      <c r="M21" s="304"/>
      <c r="N21" s="292"/>
    </row>
    <row r="22" spans="1:14" s="24" customFormat="1" x14ac:dyDescent="0.2">
      <c r="A22" s="297" t="s">
        <v>490</v>
      </c>
      <c r="B22" s="296"/>
      <c r="C22" s="303">
        <v>950</v>
      </c>
      <c r="D22" s="299"/>
      <c r="E22" s="303">
        <v>1004</v>
      </c>
      <c r="F22" s="298"/>
      <c r="G22" s="298">
        <v>1000</v>
      </c>
      <c r="H22" s="300"/>
      <c r="I22" s="303">
        <v>1000</v>
      </c>
      <c r="J22" s="300"/>
      <c r="K22" s="303">
        <v>1075</v>
      </c>
      <c r="M22" s="304"/>
      <c r="N22" s="292"/>
    </row>
    <row r="23" spans="1:14" s="24" customFormat="1" x14ac:dyDescent="0.2">
      <c r="A23" s="295" t="s">
        <v>491</v>
      </c>
      <c r="B23" s="296"/>
      <c r="C23" s="305"/>
      <c r="D23" s="299"/>
      <c r="E23" s="305"/>
      <c r="F23" s="298"/>
      <c r="G23" s="298"/>
      <c r="H23" s="300"/>
      <c r="I23" s="305"/>
      <c r="J23" s="300"/>
      <c r="K23" s="305"/>
      <c r="M23" s="292"/>
      <c r="N23" s="292"/>
    </row>
    <row r="24" spans="1:14" s="24" customFormat="1" x14ac:dyDescent="0.2">
      <c r="A24" s="297" t="s">
        <v>492</v>
      </c>
      <c r="B24" s="296"/>
      <c r="C24" s="303">
        <v>3950</v>
      </c>
      <c r="D24" s="299"/>
      <c r="E24" s="303">
        <v>3650</v>
      </c>
      <c r="F24" s="298"/>
      <c r="G24" s="298">
        <v>3000</v>
      </c>
      <c r="H24" s="300"/>
      <c r="I24" s="303">
        <v>3700</v>
      </c>
      <c r="J24" s="300"/>
      <c r="K24" s="303">
        <v>3750</v>
      </c>
      <c r="M24" s="304"/>
      <c r="N24" s="292"/>
    </row>
    <row r="25" spans="1:14" s="24" customFormat="1" x14ac:dyDescent="0.2">
      <c r="A25" s="297" t="s">
        <v>493</v>
      </c>
      <c r="B25" s="296"/>
      <c r="C25" s="303">
        <v>90</v>
      </c>
      <c r="D25" s="299"/>
      <c r="E25" s="303">
        <v>72</v>
      </c>
      <c r="F25" s="298"/>
      <c r="G25" s="298">
        <v>90</v>
      </c>
      <c r="H25" s="300"/>
      <c r="I25" s="303">
        <v>80</v>
      </c>
      <c r="J25" s="300"/>
      <c r="K25" s="303">
        <v>80</v>
      </c>
      <c r="M25" s="304"/>
      <c r="N25" s="292"/>
    </row>
    <row r="26" spans="1:14" s="24" customFormat="1" x14ac:dyDescent="0.2">
      <c r="A26" s="297" t="s">
        <v>494</v>
      </c>
      <c r="B26" s="296"/>
      <c r="C26" s="303">
        <v>40</v>
      </c>
      <c r="D26" s="299"/>
      <c r="E26" s="303">
        <v>39</v>
      </c>
      <c r="F26" s="298"/>
      <c r="G26" s="298">
        <v>39</v>
      </c>
      <c r="H26" s="300"/>
      <c r="I26" s="303">
        <v>39</v>
      </c>
      <c r="J26" s="300"/>
      <c r="K26" s="303">
        <v>39</v>
      </c>
      <c r="M26" s="304"/>
      <c r="N26" s="292"/>
    </row>
    <row r="27" spans="1:14" s="24" customFormat="1" x14ac:dyDescent="0.2">
      <c r="A27" s="297" t="s">
        <v>495</v>
      </c>
      <c r="B27" s="296"/>
      <c r="C27" s="303">
        <v>5900</v>
      </c>
      <c r="D27" s="299"/>
      <c r="E27" s="303">
        <v>5900</v>
      </c>
      <c r="F27" s="298"/>
      <c r="G27" s="298">
        <v>5950</v>
      </c>
      <c r="H27" s="300"/>
      <c r="I27" s="303">
        <v>5950</v>
      </c>
      <c r="J27" s="300"/>
      <c r="K27" s="303">
        <v>6000</v>
      </c>
      <c r="M27" s="304"/>
      <c r="N27" s="292"/>
    </row>
    <row r="28" spans="1:14" s="24" customFormat="1" x14ac:dyDescent="0.2">
      <c r="A28" s="297" t="s">
        <v>496</v>
      </c>
      <c r="B28" s="296"/>
      <c r="C28" s="303">
        <v>1175</v>
      </c>
      <c r="D28" s="299"/>
      <c r="E28" s="303">
        <v>1175</v>
      </c>
      <c r="F28" s="298"/>
      <c r="G28" s="298">
        <v>1200</v>
      </c>
      <c r="H28" s="300"/>
      <c r="I28" s="303">
        <v>1200</v>
      </c>
      <c r="J28" s="300"/>
      <c r="K28" s="303">
        <v>1260</v>
      </c>
      <c r="M28" s="304"/>
      <c r="N28" s="292"/>
    </row>
    <row r="29" spans="1:14" s="24" customFormat="1" x14ac:dyDescent="0.2">
      <c r="A29" s="295" t="s">
        <v>497</v>
      </c>
      <c r="B29" s="296"/>
      <c r="C29" s="305"/>
      <c r="D29" s="299"/>
      <c r="E29" s="305"/>
      <c r="F29" s="298"/>
      <c r="G29" s="298"/>
      <c r="H29" s="300"/>
      <c r="I29" s="305"/>
      <c r="J29" s="300"/>
      <c r="K29" s="305"/>
      <c r="M29" s="306"/>
      <c r="N29" s="292"/>
    </row>
    <row r="30" spans="1:14" s="24" customFormat="1" x14ac:dyDescent="0.2">
      <c r="A30" s="297" t="s">
        <v>498</v>
      </c>
      <c r="B30" s="296"/>
      <c r="C30" s="303">
        <v>568</v>
      </c>
      <c r="D30" s="299"/>
      <c r="E30" s="303">
        <v>510</v>
      </c>
      <c r="F30" s="298"/>
      <c r="G30" s="298">
        <v>563</v>
      </c>
      <c r="H30" s="300"/>
      <c r="I30" s="303">
        <v>470</v>
      </c>
      <c r="J30" s="300"/>
      <c r="K30" s="303">
        <v>465</v>
      </c>
      <c r="M30" s="304"/>
      <c r="N30" s="292"/>
    </row>
    <row r="31" spans="1:14" s="24" customFormat="1" x14ac:dyDescent="0.2">
      <c r="A31" s="297" t="s">
        <v>499</v>
      </c>
      <c r="B31" s="296"/>
      <c r="C31" s="303">
        <v>109</v>
      </c>
      <c r="D31" s="299"/>
      <c r="E31" s="303">
        <v>85</v>
      </c>
      <c r="F31" s="298"/>
      <c r="G31" s="298">
        <v>85</v>
      </c>
      <c r="H31" s="300"/>
      <c r="I31" s="303">
        <v>90</v>
      </c>
      <c r="J31" s="300"/>
      <c r="K31" s="303">
        <v>90</v>
      </c>
      <c r="M31" s="304"/>
      <c r="N31" s="292"/>
    </row>
    <row r="32" spans="1:14" s="24" customFormat="1" x14ac:dyDescent="0.2">
      <c r="A32" s="297" t="s">
        <v>500</v>
      </c>
      <c r="B32" s="296"/>
      <c r="C32" s="303">
        <v>568</v>
      </c>
      <c r="D32" s="299"/>
      <c r="E32" s="303">
        <v>510</v>
      </c>
      <c r="F32" s="298"/>
      <c r="G32" s="298">
        <v>563</v>
      </c>
      <c r="H32" s="300"/>
      <c r="I32" s="303">
        <v>470</v>
      </c>
      <c r="J32" s="300"/>
      <c r="K32" s="303">
        <v>465</v>
      </c>
      <c r="M32" s="304"/>
      <c r="N32" s="292"/>
    </row>
    <row r="33" spans="1:14" s="24" customFormat="1" x14ac:dyDescent="0.2">
      <c r="A33" s="297" t="s">
        <v>501</v>
      </c>
      <c r="B33" s="296"/>
      <c r="C33" s="303">
        <v>350</v>
      </c>
      <c r="D33" s="299"/>
      <c r="E33" s="303">
        <v>375</v>
      </c>
      <c r="F33" s="298"/>
      <c r="G33" s="298">
        <v>350</v>
      </c>
      <c r="H33" s="300"/>
      <c r="I33" s="303">
        <v>370</v>
      </c>
      <c r="J33" s="300"/>
      <c r="K33" s="303">
        <v>370</v>
      </c>
      <c r="M33" s="304"/>
      <c r="N33" s="292"/>
    </row>
    <row r="34" spans="1:14" s="24" customFormat="1" x14ac:dyDescent="0.2">
      <c r="A34" s="295" t="s">
        <v>502</v>
      </c>
      <c r="B34" s="296"/>
      <c r="C34" s="303"/>
      <c r="D34" s="299"/>
      <c r="E34" s="303"/>
      <c r="F34" s="298"/>
      <c r="G34" s="298"/>
      <c r="H34" s="300"/>
      <c r="I34" s="303"/>
      <c r="J34" s="300"/>
      <c r="K34" s="303"/>
      <c r="M34" s="292"/>
      <c r="N34" s="292"/>
    </row>
    <row r="35" spans="1:14" s="24" customFormat="1" x14ac:dyDescent="0.2">
      <c r="A35" s="297" t="s">
        <v>503</v>
      </c>
      <c r="B35" s="296"/>
      <c r="C35" s="303">
        <v>75</v>
      </c>
      <c r="D35" s="299"/>
      <c r="E35" s="303">
        <v>60</v>
      </c>
      <c r="F35" s="298"/>
      <c r="G35" s="298">
        <v>60</v>
      </c>
      <c r="H35" s="300"/>
      <c r="I35" s="303">
        <v>48</v>
      </c>
      <c r="J35" s="300"/>
      <c r="K35" s="303">
        <v>50</v>
      </c>
      <c r="M35" s="304"/>
      <c r="N35" s="292"/>
    </row>
    <row r="36" spans="1:14" s="24" customFormat="1" x14ac:dyDescent="0.2">
      <c r="A36" s="297" t="s">
        <v>504</v>
      </c>
      <c r="B36" s="296"/>
      <c r="C36" s="303">
        <v>1</v>
      </c>
      <c r="D36" s="299"/>
      <c r="E36" s="303">
        <v>2</v>
      </c>
      <c r="F36" s="298"/>
      <c r="G36" s="298">
        <v>2</v>
      </c>
      <c r="H36" s="300"/>
      <c r="I36" s="303">
        <v>2</v>
      </c>
      <c r="J36" s="300"/>
      <c r="K36" s="303">
        <v>1</v>
      </c>
      <c r="M36" s="304"/>
      <c r="N36" s="292"/>
    </row>
    <row r="37" spans="1:14" s="24" customFormat="1" x14ac:dyDescent="0.2">
      <c r="A37" s="297" t="s">
        <v>505</v>
      </c>
      <c r="B37" s="296"/>
      <c r="C37" s="303">
        <v>20</v>
      </c>
      <c r="D37" s="299"/>
      <c r="E37" s="303">
        <v>20</v>
      </c>
      <c r="F37" s="298"/>
      <c r="G37" s="298">
        <v>20</v>
      </c>
      <c r="H37" s="300"/>
      <c r="I37" s="303">
        <v>12</v>
      </c>
      <c r="J37" s="300"/>
      <c r="K37" s="303">
        <v>18</v>
      </c>
      <c r="M37" s="304"/>
      <c r="N37" s="292"/>
    </row>
    <row r="38" spans="1:14" s="24" customFormat="1" x14ac:dyDescent="0.2">
      <c r="A38" s="297"/>
      <c r="B38" s="296"/>
      <c r="M38" s="292"/>
      <c r="N38" s="292"/>
    </row>
    <row r="39" spans="1:14" s="24" customFormat="1" x14ac:dyDescent="0.2">
      <c r="A39" s="290" t="s">
        <v>194</v>
      </c>
      <c r="B39" s="296"/>
      <c r="M39" s="292"/>
      <c r="N39" s="292"/>
    </row>
    <row r="40" spans="1:14" s="24" customFormat="1" x14ac:dyDescent="0.2">
      <c r="A40" s="293" t="s">
        <v>195</v>
      </c>
      <c r="B40" s="296"/>
      <c r="M40" s="292"/>
      <c r="N40" s="292"/>
    </row>
    <row r="41" spans="1:14" s="24" customFormat="1" x14ac:dyDescent="0.2">
      <c r="A41" s="307" t="s">
        <v>196</v>
      </c>
      <c r="B41" s="296"/>
      <c r="M41" s="292"/>
      <c r="N41" s="292"/>
    </row>
    <row r="42" spans="1:14" s="24" customFormat="1" x14ac:dyDescent="0.2">
      <c r="A42" s="295" t="s">
        <v>197</v>
      </c>
      <c r="B42" s="296"/>
      <c r="C42" s="301">
        <v>39</v>
      </c>
      <c r="E42" s="301">
        <v>38</v>
      </c>
      <c r="F42" s="308"/>
      <c r="G42" s="308">
        <v>38</v>
      </c>
      <c r="H42" s="308"/>
      <c r="I42" s="301">
        <v>40</v>
      </c>
      <c r="J42" s="308"/>
      <c r="K42" s="301">
        <v>40</v>
      </c>
      <c r="M42" s="309"/>
      <c r="N42" s="292"/>
    </row>
    <row r="43" spans="1:14" s="24" customFormat="1" x14ac:dyDescent="0.2">
      <c r="A43" s="295" t="s">
        <v>262</v>
      </c>
      <c r="B43" s="296"/>
      <c r="C43" s="301">
        <v>7</v>
      </c>
      <c r="E43" s="301">
        <v>7</v>
      </c>
      <c r="F43" s="308"/>
      <c r="G43" s="308">
        <v>7</v>
      </c>
      <c r="H43" s="308"/>
      <c r="I43" s="301">
        <v>6</v>
      </c>
      <c r="J43" s="308"/>
      <c r="K43" s="301">
        <v>7</v>
      </c>
      <c r="M43" s="302"/>
      <c r="N43" s="292"/>
    </row>
    <row r="44" spans="1:14" s="24" customFormat="1" x14ac:dyDescent="0.2">
      <c r="A44" s="295" t="s">
        <v>198</v>
      </c>
      <c r="B44" s="296"/>
      <c r="C44" s="301">
        <f>SUM(C42:C43)</f>
        <v>46</v>
      </c>
      <c r="E44" s="301">
        <f>SUM(E42:E43)</f>
        <v>45</v>
      </c>
      <c r="F44" s="308"/>
      <c r="G44" s="308">
        <f>SUM(G42:G43)</f>
        <v>45</v>
      </c>
      <c r="H44" s="308"/>
      <c r="I44" s="301">
        <f>SUM(I42:I43)</f>
        <v>46</v>
      </c>
      <c r="J44" s="308"/>
      <c r="K44" s="301">
        <f>SUM(K42:K43)</f>
        <v>47</v>
      </c>
      <c r="M44" s="302"/>
      <c r="N44" s="292"/>
    </row>
    <row r="45" spans="1:14" s="24" customFormat="1" x14ac:dyDescent="0.2">
      <c r="A45" s="307" t="s">
        <v>199</v>
      </c>
      <c r="B45" s="296"/>
      <c r="C45" s="301"/>
      <c r="E45" s="301"/>
      <c r="F45" s="308"/>
      <c r="G45" s="308"/>
      <c r="H45" s="308"/>
      <c r="I45" s="301"/>
      <c r="J45" s="308"/>
      <c r="K45" s="301"/>
      <c r="M45" s="292"/>
      <c r="N45" s="292"/>
    </row>
    <row r="46" spans="1:14" s="24" customFormat="1" x14ac:dyDescent="0.2">
      <c r="A46" s="295" t="s">
        <v>479</v>
      </c>
      <c r="B46" s="296"/>
      <c r="C46" s="301">
        <v>39</v>
      </c>
      <c r="E46" s="301">
        <v>38</v>
      </c>
      <c r="F46" s="308"/>
      <c r="G46" s="308">
        <v>38</v>
      </c>
      <c r="H46" s="308"/>
      <c r="I46" s="301">
        <v>40</v>
      </c>
      <c r="J46" s="308"/>
      <c r="K46" s="301">
        <v>40</v>
      </c>
      <c r="M46" s="302"/>
      <c r="N46" s="292"/>
    </row>
    <row r="47" spans="1:14" s="24" customFormat="1" x14ac:dyDescent="0.2">
      <c r="A47" s="295" t="s">
        <v>506</v>
      </c>
      <c r="B47" s="296"/>
      <c r="C47" s="301">
        <v>7</v>
      </c>
      <c r="E47" s="301">
        <v>7</v>
      </c>
      <c r="F47" s="308"/>
      <c r="G47" s="308">
        <v>7</v>
      </c>
      <c r="H47" s="308"/>
      <c r="I47" s="301">
        <v>6</v>
      </c>
      <c r="J47" s="308"/>
      <c r="K47" s="301">
        <v>7</v>
      </c>
      <c r="M47" s="302"/>
      <c r="N47" s="292"/>
    </row>
    <row r="48" spans="1:14" s="24" customFormat="1" x14ac:dyDescent="0.2">
      <c r="A48" s="295" t="s">
        <v>198</v>
      </c>
      <c r="B48" s="296"/>
      <c r="C48" s="301">
        <f>SUM(C46:C47)</f>
        <v>46</v>
      </c>
      <c r="E48" s="301">
        <f>SUM(E46:E47)</f>
        <v>45</v>
      </c>
      <c r="F48" s="308"/>
      <c r="G48" s="308">
        <f>SUM(G46:G47)</f>
        <v>45</v>
      </c>
      <c r="H48" s="308"/>
      <c r="I48" s="301">
        <f>SUM(I46:I47)</f>
        <v>46</v>
      </c>
      <c r="J48" s="308"/>
      <c r="K48" s="301">
        <f>SUM(K46:K47)</f>
        <v>47</v>
      </c>
      <c r="M48" s="306"/>
      <c r="N48" s="292"/>
    </row>
    <row r="49" spans="1:14" s="24" customFormat="1" x14ac:dyDescent="0.2">
      <c r="A49" s="295"/>
      <c r="B49" s="296"/>
      <c r="M49" s="304"/>
      <c r="N49" s="292"/>
    </row>
    <row r="50" spans="1:14" s="24" customFormat="1" x14ac:dyDescent="0.2">
      <c r="A50" s="295"/>
      <c r="B50" s="296"/>
      <c r="M50" s="304"/>
      <c r="N50" s="292"/>
    </row>
    <row r="51" spans="1:14" s="24" customFormat="1" x14ac:dyDescent="0.2">
      <c r="A51" s="297"/>
      <c r="B51" s="296"/>
      <c r="M51" s="292"/>
      <c r="N51" s="292"/>
    </row>
    <row r="52" spans="1:14" s="48" customFormat="1" ht="12.75" customHeight="1" x14ac:dyDescent="0.2">
      <c r="A52" s="310" t="s">
        <v>200</v>
      </c>
      <c r="B52" s="311"/>
      <c r="C52" s="244"/>
      <c r="D52" s="312"/>
      <c r="E52" s="244"/>
      <c r="F52" s="312"/>
      <c r="G52" s="244"/>
      <c r="H52" s="312"/>
      <c r="I52" s="244"/>
      <c r="J52" s="312"/>
      <c r="K52" s="313"/>
      <c r="L52" s="312"/>
      <c r="M52" s="244"/>
      <c r="N52" s="312"/>
    </row>
    <row r="53" spans="1:14" s="48" customFormat="1" ht="27" customHeight="1" x14ac:dyDescent="0.2">
      <c r="A53" s="1750" t="s">
        <v>218</v>
      </c>
      <c r="B53" s="1736"/>
      <c r="C53" s="1737"/>
      <c r="D53" s="1736"/>
      <c r="E53" s="1737"/>
      <c r="F53" s="1736"/>
      <c r="G53" s="1737"/>
      <c r="H53" s="1736"/>
      <c r="I53" s="1737"/>
      <c r="J53" s="1736"/>
      <c r="K53" s="1737"/>
      <c r="L53" s="1736"/>
      <c r="M53" s="314"/>
      <c r="N53" s="315"/>
    </row>
    <row r="54" spans="1:14" x14ac:dyDescent="0.2">
      <c r="B54" s="25"/>
      <c r="C54" s="25"/>
      <c r="D54" s="25"/>
      <c r="E54" s="58"/>
      <c r="F54" s="58"/>
      <c r="G54" s="58"/>
      <c r="H54" s="58"/>
    </row>
    <row r="55" spans="1:14" x14ac:dyDescent="0.2">
      <c r="B55" s="25"/>
      <c r="C55" s="25"/>
      <c r="D55" s="25"/>
      <c r="E55" s="58"/>
      <c r="F55" s="58"/>
      <c r="G55" s="58"/>
      <c r="H55" s="58"/>
    </row>
    <row r="56" spans="1:14" x14ac:dyDescent="0.2">
      <c r="B56" s="25"/>
      <c r="C56" s="25"/>
      <c r="D56" s="25"/>
      <c r="E56" s="58"/>
      <c r="F56" s="58"/>
      <c r="G56" s="58"/>
      <c r="H56" s="58"/>
    </row>
    <row r="57" spans="1:14" x14ac:dyDescent="0.2">
      <c r="B57" s="25"/>
      <c r="C57" s="25"/>
      <c r="D57" s="25"/>
      <c r="E57" s="58"/>
      <c r="F57" s="58"/>
      <c r="G57" s="58"/>
      <c r="H57" s="58"/>
    </row>
    <row r="58" spans="1:14" x14ac:dyDescent="0.2">
      <c r="B58" s="25"/>
      <c r="C58" s="25"/>
      <c r="D58" s="25"/>
      <c r="E58" s="58"/>
      <c r="F58" s="58"/>
      <c r="G58" s="58"/>
      <c r="H58" s="58"/>
    </row>
    <row r="59" spans="1:14" x14ac:dyDescent="0.2">
      <c r="B59" s="25"/>
      <c r="C59" s="25"/>
      <c r="D59" s="25"/>
      <c r="E59" s="58"/>
      <c r="F59" s="58"/>
      <c r="G59" s="58"/>
      <c r="H59" s="58"/>
    </row>
    <row r="60" spans="1:14" x14ac:dyDescent="0.2">
      <c r="B60" s="25"/>
      <c r="C60" s="25"/>
      <c r="D60" s="25"/>
      <c r="E60" s="58"/>
      <c r="F60" s="58"/>
      <c r="G60" s="58"/>
      <c r="H60" s="58"/>
    </row>
    <row r="61" spans="1:14" x14ac:dyDescent="0.2">
      <c r="B61" s="25"/>
      <c r="C61" s="25"/>
      <c r="D61" s="25"/>
      <c r="E61" s="58"/>
      <c r="F61" s="58"/>
      <c r="G61" s="58"/>
      <c r="H61" s="58"/>
    </row>
    <row r="62" spans="1:14" x14ac:dyDescent="0.2">
      <c r="B62" s="25"/>
      <c r="C62" s="25"/>
      <c r="D62" s="25"/>
      <c r="E62" s="58"/>
      <c r="F62" s="58"/>
      <c r="G62" s="58"/>
      <c r="H62" s="58"/>
    </row>
    <row r="63" spans="1:14" x14ac:dyDescent="0.2">
      <c r="B63" s="25"/>
      <c r="C63" s="25"/>
      <c r="D63" s="25"/>
      <c r="E63" s="58"/>
      <c r="F63" s="58"/>
      <c r="G63" s="58"/>
      <c r="H63" s="58"/>
    </row>
    <row r="64" spans="1:14"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row r="94" spans="2:2" x14ac:dyDescent="0.2">
      <c r="B94" s="25"/>
    </row>
  </sheetData>
  <mergeCells count="2">
    <mergeCell ref="A53:L53"/>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74" fitToHeight="99" pageOrder="overThenDown"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9">
    <pageSetUpPr fitToPage="1"/>
  </sheetPr>
  <dimension ref="A1:Q10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4" style="60" customWidth="1"/>
    <col min="11" max="11" width="10.855468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417</v>
      </c>
      <c r="C3" s="10" t="s">
        <v>418</v>
      </c>
      <c r="D3" s="6"/>
      <c r="E3" s="11"/>
      <c r="F3" s="9"/>
      <c r="G3" s="11"/>
      <c r="H3" s="6"/>
      <c r="I3" s="11"/>
      <c r="J3" s="6"/>
      <c r="K3" s="1734"/>
      <c r="L3" s="6"/>
      <c r="M3" s="11"/>
      <c r="N3" s="6"/>
    </row>
    <row r="4" spans="1:16" s="4" customFormat="1" ht="15.75" x14ac:dyDescent="0.25">
      <c r="A4" s="1" t="s">
        <v>180</v>
      </c>
      <c r="B4" s="10" t="s">
        <v>216</v>
      </c>
      <c r="C4" s="10" t="s">
        <v>1</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24" customFormat="1" x14ac:dyDescent="0.2">
      <c r="A10" s="35" t="s">
        <v>222</v>
      </c>
      <c r="B10" s="35"/>
      <c r="M10" s="316"/>
      <c r="N10" s="316"/>
      <c r="O10" s="316"/>
    </row>
    <row r="11" spans="1:16" s="24" customFormat="1" x14ac:dyDescent="0.2">
      <c r="A11" s="46" t="s">
        <v>507</v>
      </c>
      <c r="B11" s="317"/>
      <c r="M11" s="316"/>
      <c r="N11" s="316"/>
      <c r="O11" s="316"/>
    </row>
    <row r="12" spans="1:16" s="24" customFormat="1" ht="12.75" customHeight="1" x14ac:dyDescent="0.2">
      <c r="A12" s="41" t="s">
        <v>508</v>
      </c>
      <c r="B12" s="317"/>
      <c r="C12" s="318">
        <v>31</v>
      </c>
      <c r="D12" s="319"/>
      <c r="E12" s="318">
        <v>37</v>
      </c>
      <c r="F12" s="320"/>
      <c r="G12" s="318">
        <v>66</v>
      </c>
      <c r="I12" s="318">
        <v>75</v>
      </c>
      <c r="K12" s="318">
        <v>65</v>
      </c>
      <c r="M12" s="321"/>
      <c r="N12" s="316"/>
      <c r="O12" s="316"/>
    </row>
    <row r="13" spans="1:16" s="24" customFormat="1" ht="12.75" customHeight="1" x14ac:dyDescent="0.2">
      <c r="A13" s="35" t="s">
        <v>509</v>
      </c>
      <c r="B13" s="38"/>
      <c r="C13" s="318"/>
      <c r="D13" s="319"/>
      <c r="E13" s="318"/>
      <c r="F13" s="320"/>
      <c r="G13" s="320"/>
      <c r="I13" s="318"/>
      <c r="K13" s="318"/>
      <c r="M13" s="321"/>
      <c r="N13" s="316"/>
      <c r="O13" s="316"/>
    </row>
    <row r="14" spans="1:16" s="24" customFormat="1" x14ac:dyDescent="0.2">
      <c r="A14" s="41" t="s">
        <v>510</v>
      </c>
      <c r="B14" s="41"/>
      <c r="C14" s="318">
        <v>397</v>
      </c>
      <c r="D14" s="319"/>
      <c r="E14" s="318">
        <v>293</v>
      </c>
      <c r="F14" s="320"/>
      <c r="G14" s="318">
        <v>420</v>
      </c>
      <c r="I14" s="318">
        <v>210</v>
      </c>
      <c r="K14" s="318">
        <v>210</v>
      </c>
      <c r="M14" s="321"/>
      <c r="N14" s="316"/>
      <c r="O14" s="316"/>
    </row>
    <row r="15" spans="1:16" s="37" customFormat="1" x14ac:dyDescent="0.2">
      <c r="A15" s="41" t="s">
        <v>511</v>
      </c>
      <c r="B15" s="41"/>
      <c r="C15" s="318">
        <v>2025</v>
      </c>
      <c r="D15" s="86"/>
      <c r="E15" s="318">
        <v>1949</v>
      </c>
      <c r="F15" s="79"/>
      <c r="G15" s="75">
        <v>2100</v>
      </c>
      <c r="I15" s="318">
        <v>1800</v>
      </c>
      <c r="K15" s="318">
        <v>1850</v>
      </c>
      <c r="M15" s="77"/>
      <c r="N15" s="40"/>
      <c r="O15" s="40"/>
    </row>
    <row r="16" spans="1:16" s="40" customFormat="1" x14ac:dyDescent="0.2">
      <c r="A16" s="30"/>
      <c r="B16" s="31"/>
    </row>
    <row r="17" spans="1:15" s="40" customFormat="1" x14ac:dyDescent="0.2">
      <c r="A17" s="35" t="s">
        <v>194</v>
      </c>
      <c r="B17" s="36"/>
      <c r="M17" s="70"/>
    </row>
    <row r="18" spans="1:15" s="40" customFormat="1" x14ac:dyDescent="0.2">
      <c r="A18" s="38" t="s">
        <v>512</v>
      </c>
      <c r="B18" s="39"/>
      <c r="M18" s="102"/>
    </row>
    <row r="19" spans="1:15" s="40" customFormat="1" x14ac:dyDescent="0.2">
      <c r="A19" s="41" t="s">
        <v>332</v>
      </c>
      <c r="B19" s="39"/>
      <c r="C19" s="75">
        <v>107</v>
      </c>
      <c r="E19" s="75">
        <v>101</v>
      </c>
      <c r="G19" s="77"/>
      <c r="I19" s="75">
        <v>109</v>
      </c>
      <c r="K19" s="75"/>
      <c r="M19" s="77"/>
    </row>
    <row r="20" spans="1:15" s="40" customFormat="1" x14ac:dyDescent="0.2">
      <c r="A20" s="41" t="s">
        <v>256</v>
      </c>
      <c r="B20" s="39"/>
      <c r="C20" s="322">
        <v>0.112</v>
      </c>
      <c r="E20" s="322">
        <v>0.11600000000000001</v>
      </c>
      <c r="G20" s="101"/>
      <c r="I20" s="322">
        <v>0.1211</v>
      </c>
      <c r="K20" s="322"/>
      <c r="M20" s="101"/>
    </row>
    <row r="21" spans="1:15" s="40" customFormat="1" x14ac:dyDescent="0.2">
      <c r="A21" s="41" t="s">
        <v>257</v>
      </c>
      <c r="B21" s="39"/>
      <c r="C21" s="75">
        <v>236</v>
      </c>
      <c r="E21" s="75">
        <v>220</v>
      </c>
      <c r="G21" s="77"/>
      <c r="I21" s="75">
        <v>221</v>
      </c>
      <c r="K21" s="75"/>
      <c r="M21" s="77"/>
    </row>
    <row r="22" spans="1:15" s="40" customFormat="1" x14ac:dyDescent="0.2">
      <c r="A22" s="41" t="s">
        <v>258</v>
      </c>
      <c r="B22" s="39"/>
      <c r="C22" s="322">
        <v>0.246</v>
      </c>
      <c r="E22" s="322">
        <v>0.254</v>
      </c>
      <c r="G22" s="101"/>
      <c r="I22" s="322">
        <v>0.24560000000000001</v>
      </c>
      <c r="K22" s="322"/>
      <c r="M22" s="101"/>
    </row>
    <row r="23" spans="1:15" s="37" customFormat="1" x14ac:dyDescent="0.2">
      <c r="A23" s="41" t="s">
        <v>259</v>
      </c>
      <c r="B23" s="39"/>
      <c r="C23" s="75">
        <v>343</v>
      </c>
      <c r="E23" s="75">
        <v>321</v>
      </c>
      <c r="G23" s="89"/>
      <c r="I23" s="75">
        <v>330</v>
      </c>
      <c r="K23" s="75"/>
      <c r="M23" s="89"/>
    </row>
    <row r="24" spans="1:15" s="37" customFormat="1" x14ac:dyDescent="0.2">
      <c r="A24" s="41" t="s">
        <v>260</v>
      </c>
      <c r="B24" s="39"/>
      <c r="C24" s="322">
        <v>0.35799999999999998</v>
      </c>
      <c r="E24" s="322">
        <v>0.37</v>
      </c>
      <c r="G24" s="215"/>
      <c r="I24" s="322">
        <v>0.36670000000000003</v>
      </c>
      <c r="K24" s="322"/>
      <c r="M24" s="215"/>
    </row>
    <row r="25" spans="1:15" s="40" customFormat="1" x14ac:dyDescent="0.2">
      <c r="A25" s="35" t="s">
        <v>211</v>
      </c>
      <c r="B25" s="36"/>
    </row>
    <row r="26" spans="1:15" s="40" customFormat="1" x14ac:dyDescent="0.2">
      <c r="A26" s="35" t="s">
        <v>195</v>
      </c>
      <c r="B26" s="36"/>
      <c r="M26" s="77"/>
    </row>
    <row r="27" spans="1:15" s="40" customFormat="1" x14ac:dyDescent="0.2">
      <c r="A27" s="38" t="s">
        <v>196</v>
      </c>
      <c r="B27" s="39"/>
      <c r="M27" s="77"/>
    </row>
    <row r="28" spans="1:15" s="40" customFormat="1" x14ac:dyDescent="0.2">
      <c r="A28" s="41" t="s">
        <v>197</v>
      </c>
      <c r="B28" s="39"/>
      <c r="C28" s="76">
        <v>47</v>
      </c>
      <c r="E28" s="76">
        <v>46</v>
      </c>
      <c r="G28" s="77">
        <v>46</v>
      </c>
      <c r="I28" s="76">
        <v>44</v>
      </c>
      <c r="K28" s="76">
        <v>44</v>
      </c>
      <c r="M28" s="77"/>
    </row>
    <row r="29" spans="1:15" s="48" customFormat="1" x14ac:dyDescent="0.2">
      <c r="A29" s="41" t="s">
        <v>333</v>
      </c>
      <c r="B29" s="39"/>
      <c r="C29" s="76">
        <v>21</v>
      </c>
      <c r="E29" s="76">
        <v>20</v>
      </c>
      <c r="G29" s="323">
        <v>20</v>
      </c>
      <c r="I29" s="76">
        <v>20</v>
      </c>
      <c r="K29" s="76">
        <v>22</v>
      </c>
      <c r="M29" s="324"/>
      <c r="N29" s="280"/>
      <c r="O29" s="280"/>
    </row>
    <row r="30" spans="1:15" s="48" customFormat="1" x14ac:dyDescent="0.2">
      <c r="A30" s="41" t="s">
        <v>198</v>
      </c>
      <c r="B30" s="39"/>
      <c r="C30" s="76">
        <f>SUM(C28:C29)</f>
        <v>68</v>
      </c>
      <c r="E30" s="76">
        <f>SUM(E28:E29)</f>
        <v>66</v>
      </c>
      <c r="G30" s="323">
        <f>SUM(G28:G29)</f>
        <v>66</v>
      </c>
      <c r="I30" s="76">
        <f>SUM(I28:I29)</f>
        <v>64</v>
      </c>
      <c r="K30" s="76">
        <f>SUM(K28:K29)</f>
        <v>66</v>
      </c>
      <c r="M30" s="324"/>
      <c r="N30" s="280"/>
      <c r="O30" s="280"/>
    </row>
    <row r="31" spans="1:15" s="48" customFormat="1" x14ac:dyDescent="0.2">
      <c r="A31" s="38" t="s">
        <v>199</v>
      </c>
      <c r="B31" s="39"/>
      <c r="C31" s="76"/>
      <c r="E31" s="76"/>
      <c r="I31" s="76"/>
      <c r="K31" s="76"/>
      <c r="M31" s="324"/>
      <c r="N31" s="280"/>
      <c r="O31" s="280"/>
    </row>
    <row r="32" spans="1:15" s="48" customFormat="1" x14ac:dyDescent="0.2">
      <c r="A32" s="41" t="s">
        <v>507</v>
      </c>
      <c r="B32" s="39"/>
      <c r="C32" s="76">
        <v>6</v>
      </c>
      <c r="E32" s="76">
        <v>6</v>
      </c>
      <c r="G32" s="323">
        <v>6</v>
      </c>
      <c r="I32" s="76">
        <v>6</v>
      </c>
      <c r="K32" s="76">
        <v>7</v>
      </c>
      <c r="M32" s="324"/>
      <c r="N32" s="280"/>
      <c r="O32" s="280"/>
    </row>
    <row r="33" spans="1:17" s="48" customFormat="1" ht="15" x14ac:dyDescent="0.25">
      <c r="A33" s="325" t="s">
        <v>263</v>
      </c>
      <c r="C33" s="76">
        <v>62</v>
      </c>
      <c r="E33" s="76">
        <v>60</v>
      </c>
      <c r="G33" s="323">
        <v>60</v>
      </c>
      <c r="I33" s="76">
        <v>58</v>
      </c>
      <c r="K33" s="76">
        <v>59</v>
      </c>
      <c r="M33" s="326"/>
      <c r="N33" s="52"/>
    </row>
    <row r="34" spans="1:17" s="48" customFormat="1" x14ac:dyDescent="0.2">
      <c r="A34" s="327" t="s">
        <v>198</v>
      </c>
      <c r="C34" s="323">
        <f>SUM(C32:C33)</f>
        <v>68</v>
      </c>
      <c r="D34" s="323"/>
      <c r="E34" s="323">
        <f>SUM(E32:E33)</f>
        <v>66</v>
      </c>
      <c r="F34" s="323"/>
      <c r="G34" s="323">
        <f>SUM(G32:G33)</f>
        <v>66</v>
      </c>
      <c r="H34" s="323"/>
      <c r="I34" s="323">
        <f>SUM(I32:I33)</f>
        <v>64</v>
      </c>
      <c r="J34" s="323"/>
      <c r="K34" s="323">
        <f>SUM(K32:K33)</f>
        <v>66</v>
      </c>
      <c r="M34" s="326"/>
      <c r="N34" s="52"/>
    </row>
    <row r="35" spans="1:17" ht="27.75" customHeight="1" x14ac:dyDescent="0.2">
      <c r="A35" s="46"/>
      <c r="B35" s="47"/>
      <c r="C35" s="59"/>
      <c r="D35" s="60"/>
      <c r="M35" s="138"/>
      <c r="N35" s="137"/>
      <c r="O35" s="54"/>
      <c r="P35" s="54"/>
      <c r="Q35" s="951"/>
    </row>
    <row r="36" spans="1:17" ht="12.75" customHeight="1" x14ac:dyDescent="0.2">
      <c r="A36" s="49" t="s">
        <v>200</v>
      </c>
      <c r="B36" s="50"/>
      <c r="C36" s="51"/>
      <c r="D36" s="52"/>
      <c r="E36" s="53"/>
      <c r="F36" s="52"/>
      <c r="G36" s="53"/>
      <c r="H36" s="52"/>
      <c r="I36" s="53"/>
      <c r="J36" s="52"/>
      <c r="K36" s="53"/>
      <c r="L36" s="137"/>
      <c r="M36" s="138"/>
      <c r="N36" s="137"/>
      <c r="O36" s="54"/>
      <c r="P36" s="54"/>
    </row>
    <row r="37" spans="1:17" ht="30" customHeight="1" x14ac:dyDescent="0.2">
      <c r="A37" s="1738" t="s">
        <v>513</v>
      </c>
      <c r="B37" s="1736"/>
      <c r="C37" s="1737"/>
      <c r="D37" s="1736"/>
      <c r="E37" s="1737"/>
      <c r="F37" s="1736"/>
      <c r="G37" s="1737"/>
      <c r="H37" s="1736"/>
      <c r="I37" s="1737"/>
      <c r="J37" s="1736"/>
      <c r="K37" s="1737"/>
      <c r="L37" s="1736"/>
      <c r="M37" s="138"/>
      <c r="N37" s="137"/>
      <c r="O37" s="54"/>
      <c r="P37" s="54"/>
    </row>
    <row r="38" spans="1:17" ht="12.75" customHeight="1" x14ac:dyDescent="0.2">
      <c r="A38" s="1738"/>
      <c r="B38" s="1736"/>
      <c r="C38" s="1737"/>
      <c r="D38" s="1736"/>
      <c r="E38" s="1737"/>
      <c r="F38" s="1736"/>
      <c r="G38" s="1737"/>
      <c r="H38" s="1736"/>
      <c r="I38" s="1737"/>
      <c r="J38" s="1736"/>
      <c r="K38" s="1737"/>
      <c r="L38" s="1736"/>
      <c r="M38" s="328"/>
      <c r="N38" s="29"/>
      <c r="O38" s="54"/>
      <c r="P38" s="54"/>
    </row>
    <row r="39" spans="1:17" ht="12.75" customHeight="1" x14ac:dyDescent="0.2">
      <c r="A39" s="329"/>
      <c r="B39" s="137"/>
      <c r="C39" s="138"/>
      <c r="D39" s="137"/>
      <c r="E39" s="138"/>
      <c r="F39" s="137"/>
      <c r="G39" s="138"/>
      <c r="H39" s="137"/>
      <c r="I39" s="138"/>
      <c r="J39" s="137"/>
      <c r="K39" s="138"/>
      <c r="L39" s="29"/>
      <c r="M39" s="328"/>
      <c r="N39" s="29"/>
      <c r="O39" s="54"/>
      <c r="P39" s="54"/>
    </row>
    <row r="40" spans="1:17" ht="15" customHeight="1" x14ac:dyDescent="0.2">
      <c r="A40" s="29"/>
      <c r="B40" s="29"/>
      <c r="C40" s="328"/>
      <c r="D40" s="29"/>
      <c r="E40" s="328"/>
      <c r="F40" s="29"/>
      <c r="G40" s="328"/>
      <c r="H40" s="29"/>
      <c r="I40" s="328"/>
      <c r="J40" s="29"/>
      <c r="K40" s="328"/>
      <c r="L40" s="29"/>
      <c r="M40" s="328"/>
      <c r="N40" s="29"/>
      <c r="O40" s="54"/>
      <c r="P40" s="54"/>
    </row>
    <row r="41" spans="1:17" ht="16.5" customHeight="1" x14ac:dyDescent="0.2">
      <c r="A41" s="29"/>
      <c r="B41" s="29"/>
      <c r="C41" s="328"/>
      <c r="D41" s="29"/>
      <c r="E41" s="328"/>
      <c r="F41" s="29"/>
      <c r="G41" s="328"/>
      <c r="H41" s="29"/>
      <c r="I41" s="328"/>
      <c r="J41" s="29"/>
      <c r="K41" s="328"/>
      <c r="L41" s="29"/>
      <c r="M41" s="328"/>
      <c r="N41" s="29"/>
      <c r="O41" s="54"/>
      <c r="P41" s="54"/>
    </row>
    <row r="42" spans="1:17" ht="27.75" customHeight="1" x14ac:dyDescent="0.2">
      <c r="A42" s="29"/>
      <c r="B42" s="29"/>
      <c r="C42" s="29"/>
      <c r="D42" s="29"/>
      <c r="E42" s="29"/>
      <c r="F42" s="29"/>
      <c r="G42" s="29"/>
      <c r="H42" s="29"/>
      <c r="I42" s="29"/>
      <c r="J42" s="29"/>
      <c r="K42" s="29"/>
      <c r="L42" s="137"/>
      <c r="M42" s="138"/>
      <c r="N42" s="137"/>
      <c r="O42" s="54"/>
      <c r="P42" s="54"/>
    </row>
    <row r="43" spans="1:17" ht="27.75" customHeight="1" x14ac:dyDescent="0.2">
      <c r="A43" s="29"/>
      <c r="B43" s="29"/>
      <c r="C43" s="29"/>
      <c r="D43" s="29"/>
      <c r="E43" s="29"/>
      <c r="F43" s="29"/>
      <c r="G43" s="29"/>
      <c r="H43" s="29"/>
      <c r="I43" s="29"/>
      <c r="J43" s="29"/>
      <c r="K43" s="29"/>
      <c r="L43" s="137"/>
      <c r="M43" s="138"/>
      <c r="N43" s="137"/>
      <c r="O43" s="54"/>
      <c r="P43" s="54"/>
    </row>
    <row r="44" spans="1:17" ht="27.75" customHeight="1" x14ac:dyDescent="0.2">
      <c r="A44" s="330"/>
      <c r="B44" s="137"/>
      <c r="C44" s="138"/>
      <c r="D44" s="137"/>
      <c r="E44" s="138"/>
      <c r="F44" s="137"/>
      <c r="G44" s="138"/>
      <c r="H44" s="137"/>
      <c r="I44" s="138"/>
      <c r="J44" s="137"/>
      <c r="K44" s="138"/>
      <c r="L44" s="137"/>
      <c r="M44" s="138"/>
      <c r="N44" s="137"/>
      <c r="O44" s="54"/>
      <c r="P44" s="54"/>
    </row>
    <row r="45" spans="1:17" x14ac:dyDescent="0.2">
      <c r="A45" s="330"/>
      <c r="B45" s="137"/>
      <c r="C45" s="138"/>
      <c r="D45" s="137"/>
      <c r="E45" s="138"/>
      <c r="F45" s="137"/>
      <c r="G45" s="138"/>
      <c r="H45" s="137"/>
      <c r="I45" s="138"/>
      <c r="J45" s="137"/>
      <c r="K45" s="138"/>
      <c r="L45" s="54"/>
      <c r="M45" s="56"/>
      <c r="N45" s="54"/>
      <c r="O45" s="54"/>
      <c r="P45" s="54"/>
    </row>
    <row r="46" spans="1:17" x14ac:dyDescent="0.2">
      <c r="A46" s="330"/>
      <c r="B46" s="137"/>
      <c r="C46" s="138"/>
      <c r="D46" s="137"/>
      <c r="E46" s="138"/>
      <c r="F46" s="137"/>
      <c r="G46" s="138"/>
      <c r="H46" s="137"/>
      <c r="I46" s="138"/>
      <c r="J46" s="137"/>
      <c r="K46" s="138"/>
      <c r="L46" s="54"/>
      <c r="M46" s="54"/>
      <c r="N46" s="54"/>
      <c r="O46" s="54"/>
      <c r="P46" s="54"/>
    </row>
    <row r="47" spans="1:17" x14ac:dyDescent="0.2">
      <c r="A47" s="55"/>
      <c r="B47" s="54"/>
      <c r="C47" s="56"/>
      <c r="D47" s="54"/>
      <c r="E47" s="56"/>
      <c r="F47" s="54"/>
      <c r="G47" s="56"/>
      <c r="H47" s="54"/>
      <c r="I47" s="56"/>
      <c r="J47" s="54"/>
      <c r="K47" s="56"/>
      <c r="L47" s="54"/>
      <c r="M47" s="56"/>
      <c r="N47" s="54"/>
      <c r="O47" s="54"/>
      <c r="P47" s="54"/>
    </row>
    <row r="48" spans="1:17" x14ac:dyDescent="0.2">
      <c r="A48" s="55"/>
      <c r="B48" s="54"/>
      <c r="C48" s="54"/>
      <c r="D48" s="54"/>
      <c r="E48" s="54"/>
      <c r="F48" s="54"/>
      <c r="G48" s="54"/>
      <c r="H48" s="54"/>
      <c r="I48" s="54"/>
      <c r="J48" s="54"/>
      <c r="K48" s="54"/>
      <c r="L48" s="54"/>
      <c r="M48" s="54"/>
      <c r="N48" s="54"/>
      <c r="O48" s="54"/>
      <c r="P48" s="54"/>
    </row>
    <row r="49" spans="1:17" x14ac:dyDescent="0.2">
      <c r="A49" s="55"/>
      <c r="B49" s="54"/>
      <c r="C49" s="56"/>
      <c r="D49" s="54"/>
      <c r="E49" s="56"/>
      <c r="F49" s="54"/>
      <c r="G49" s="56"/>
      <c r="H49" s="54"/>
      <c r="I49" s="56"/>
      <c r="J49" s="54"/>
      <c r="K49" s="56"/>
      <c r="L49" s="54"/>
      <c r="M49" s="56"/>
      <c r="N49" s="54"/>
      <c r="O49" s="54"/>
      <c r="P49" s="54"/>
    </row>
    <row r="50" spans="1:17" x14ac:dyDescent="0.2">
      <c r="A50" s="55"/>
      <c r="B50" s="54"/>
      <c r="C50" s="54"/>
      <c r="D50" s="54"/>
      <c r="E50" s="54"/>
      <c r="F50" s="54"/>
      <c r="G50" s="54"/>
      <c r="H50" s="54"/>
      <c r="I50" s="54"/>
      <c r="J50" s="54"/>
      <c r="K50" s="54"/>
      <c r="L50" s="54"/>
      <c r="M50" s="54"/>
      <c r="N50" s="54"/>
      <c r="O50" s="54"/>
      <c r="P50" s="54"/>
    </row>
    <row r="51" spans="1:17" x14ac:dyDescent="0.2">
      <c r="A51" s="55"/>
      <c r="B51" s="54"/>
      <c r="C51" s="56"/>
      <c r="D51" s="54"/>
      <c r="E51" s="56"/>
      <c r="F51" s="54"/>
      <c r="G51" s="56"/>
      <c r="H51" s="54"/>
      <c r="I51" s="56"/>
      <c r="J51" s="54"/>
      <c r="K51" s="56"/>
      <c r="L51" s="54"/>
      <c r="M51" s="54"/>
      <c r="N51" s="54"/>
      <c r="O51" s="54"/>
      <c r="P51" s="54"/>
    </row>
    <row r="52" spans="1:17" x14ac:dyDescent="0.2">
      <c r="A52" s="55"/>
      <c r="B52" s="54"/>
      <c r="C52" s="54"/>
      <c r="D52" s="54"/>
      <c r="E52" s="54"/>
      <c r="F52" s="54"/>
      <c r="G52" s="54"/>
      <c r="H52" s="54"/>
      <c r="I52" s="54"/>
      <c r="J52" s="54"/>
      <c r="K52" s="54"/>
      <c r="L52" s="54"/>
      <c r="M52" s="54"/>
      <c r="N52" s="54"/>
      <c r="O52" s="54"/>
      <c r="P52" s="54"/>
      <c r="Q52" s="57"/>
    </row>
    <row r="53" spans="1:17" x14ac:dyDescent="0.2">
      <c r="A53" s="55"/>
      <c r="B53" s="54"/>
      <c r="C53" s="54"/>
      <c r="D53" s="54"/>
      <c r="E53" s="54"/>
      <c r="F53" s="54"/>
      <c r="G53" s="54"/>
      <c r="H53" s="54"/>
      <c r="I53" s="54"/>
      <c r="J53" s="54"/>
      <c r="K53" s="54"/>
    </row>
    <row r="54" spans="1:17" x14ac:dyDescent="0.2">
      <c r="A54" s="55"/>
      <c r="B54" s="54"/>
      <c r="C54" s="54"/>
      <c r="D54" s="54"/>
      <c r="E54" s="54"/>
      <c r="F54" s="54"/>
      <c r="G54" s="54"/>
      <c r="H54" s="54"/>
      <c r="I54" s="54"/>
      <c r="J54" s="54"/>
      <c r="K54" s="54"/>
    </row>
    <row r="55" spans="1:17" x14ac:dyDescent="0.2">
      <c r="B55" s="25"/>
      <c r="C55" s="25"/>
      <c r="D55" s="25"/>
      <c r="E55" s="58"/>
      <c r="F55" s="58"/>
      <c r="G55" s="58"/>
      <c r="H55" s="58"/>
    </row>
    <row r="56" spans="1:17" x14ac:dyDescent="0.2">
      <c r="B56" s="25"/>
      <c r="C56" s="25"/>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sheetData>
  <mergeCells count="3">
    <mergeCell ref="A37:L37"/>
    <mergeCell ref="A38:L38"/>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0">
    <pageSetUpPr fitToPage="1"/>
  </sheetPr>
  <dimension ref="A1:Q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 style="60"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514</v>
      </c>
      <c r="C3" s="10" t="s">
        <v>515</v>
      </c>
      <c r="D3" s="6"/>
      <c r="E3" s="11"/>
      <c r="F3" s="9"/>
      <c r="G3" s="11"/>
      <c r="H3" s="6"/>
      <c r="I3" s="11"/>
      <c r="J3" s="6"/>
      <c r="K3" s="1734"/>
      <c r="L3" s="6"/>
      <c r="M3" s="11"/>
      <c r="N3" s="6"/>
    </row>
    <row r="4" spans="1:16" s="4" customFormat="1" ht="15.75" x14ac:dyDescent="0.25">
      <c r="A4" s="1" t="s">
        <v>180</v>
      </c>
      <c r="B4" s="10" t="s">
        <v>339</v>
      </c>
      <c r="C4" s="10" t="s">
        <v>7</v>
      </c>
      <c r="D4" s="6"/>
      <c r="E4" s="11"/>
      <c r="F4" s="9"/>
      <c r="G4" s="11"/>
      <c r="H4" s="6"/>
      <c r="I4" s="11"/>
      <c r="J4" s="6"/>
      <c r="K4" s="11"/>
      <c r="L4" s="6"/>
      <c r="M4" s="11"/>
      <c r="N4" s="6"/>
    </row>
    <row r="5" spans="1:16" s="4" customFormat="1" ht="15.75" x14ac:dyDescent="0.2">
      <c r="A5" s="1" t="s">
        <v>183</v>
      </c>
      <c r="B5" s="12" t="s">
        <v>516</v>
      </c>
      <c r="C5" s="12" t="s">
        <v>8</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517</v>
      </c>
      <c r="B10" s="36"/>
    </row>
    <row r="11" spans="1:16" s="37" customFormat="1" x14ac:dyDescent="0.2">
      <c r="A11" s="35" t="s">
        <v>518</v>
      </c>
      <c r="B11" s="36"/>
    </row>
    <row r="12" spans="1:16" s="40" customFormat="1" x14ac:dyDescent="0.2">
      <c r="A12" s="41" t="s">
        <v>519</v>
      </c>
      <c r="B12" s="39"/>
      <c r="C12" s="78">
        <v>175</v>
      </c>
      <c r="E12" s="77">
        <v>179</v>
      </c>
      <c r="G12" s="77">
        <v>175</v>
      </c>
      <c r="I12" s="77">
        <v>175</v>
      </c>
      <c r="K12" s="77">
        <v>175</v>
      </c>
      <c r="M12" s="76"/>
      <c r="O12" s="77"/>
    </row>
    <row r="13" spans="1:16" s="40" customFormat="1" x14ac:dyDescent="0.2">
      <c r="A13" s="41" t="s">
        <v>520</v>
      </c>
      <c r="B13" s="39"/>
      <c r="C13" s="78">
        <v>1112</v>
      </c>
      <c r="E13" s="77">
        <v>977</v>
      </c>
      <c r="G13" s="77">
        <v>977</v>
      </c>
      <c r="I13" s="77">
        <v>977</v>
      </c>
      <c r="K13" s="77">
        <v>977</v>
      </c>
      <c r="M13" s="76"/>
      <c r="O13" s="77"/>
    </row>
    <row r="14" spans="1:16" s="40" customFormat="1" x14ac:dyDescent="0.2">
      <c r="A14" s="41" t="s">
        <v>521</v>
      </c>
      <c r="B14" s="39"/>
      <c r="C14" s="78">
        <v>2670</v>
      </c>
      <c r="E14" s="77">
        <v>2661</v>
      </c>
      <c r="G14" s="77">
        <v>2642</v>
      </c>
      <c r="I14" s="77">
        <v>2642</v>
      </c>
      <c r="K14" s="77">
        <v>2642</v>
      </c>
      <c r="M14" s="76"/>
    </row>
    <row r="15" spans="1:16" s="40" customFormat="1" x14ac:dyDescent="0.2">
      <c r="A15" s="41"/>
      <c r="B15" s="39"/>
      <c r="E15" s="77"/>
      <c r="M15" s="63"/>
    </row>
    <row r="16" spans="1:16" s="37" customFormat="1" x14ac:dyDescent="0.2">
      <c r="A16" s="35" t="s">
        <v>194</v>
      </c>
      <c r="B16" s="36"/>
      <c r="E16" s="89"/>
    </row>
    <row r="17" spans="1:17" s="37" customFormat="1" x14ac:dyDescent="0.2">
      <c r="A17" s="35" t="s">
        <v>195</v>
      </c>
      <c r="B17" s="36"/>
      <c r="E17" s="89"/>
    </row>
    <row r="18" spans="1:17" s="40" customFormat="1" x14ac:dyDescent="0.2">
      <c r="A18" s="38" t="s">
        <v>196</v>
      </c>
      <c r="B18" s="39"/>
      <c r="E18" s="77"/>
      <c r="M18" s="63"/>
      <c r="N18" s="63"/>
    </row>
    <row r="19" spans="1:17" s="40" customFormat="1" x14ac:dyDescent="0.2">
      <c r="A19" s="41" t="s">
        <v>522</v>
      </c>
      <c r="B19" s="39"/>
      <c r="C19" s="112">
        <v>525</v>
      </c>
      <c r="E19" s="77">
        <v>545</v>
      </c>
      <c r="G19" s="77">
        <v>544</v>
      </c>
      <c r="I19" s="77">
        <v>533</v>
      </c>
      <c r="K19" s="77">
        <v>533</v>
      </c>
      <c r="M19" s="76"/>
      <c r="N19" s="63"/>
    </row>
    <row r="20" spans="1:17" s="40" customFormat="1" x14ac:dyDescent="0.2">
      <c r="A20" s="41" t="s">
        <v>261</v>
      </c>
      <c r="B20" s="39"/>
      <c r="C20" s="112">
        <v>4</v>
      </c>
      <c r="E20" s="77">
        <v>6</v>
      </c>
      <c r="G20" s="77">
        <v>6</v>
      </c>
      <c r="I20" s="77">
        <v>6</v>
      </c>
      <c r="K20" s="77">
        <v>6</v>
      </c>
      <c r="M20" s="76"/>
      <c r="N20" s="63"/>
    </row>
    <row r="21" spans="1:17" s="40" customFormat="1" x14ac:dyDescent="0.2">
      <c r="A21" s="41" t="s">
        <v>262</v>
      </c>
      <c r="B21" s="39"/>
      <c r="C21" s="112">
        <v>18</v>
      </c>
      <c r="E21" s="77">
        <v>22</v>
      </c>
      <c r="G21" s="77">
        <v>21</v>
      </c>
      <c r="I21" s="77">
        <v>21</v>
      </c>
      <c r="K21" s="77">
        <v>28</v>
      </c>
      <c r="M21" s="76"/>
      <c r="N21" s="63"/>
    </row>
    <row r="22" spans="1:17" s="40" customFormat="1" x14ac:dyDescent="0.2">
      <c r="A22" s="41" t="s">
        <v>198</v>
      </c>
      <c r="B22" s="39"/>
      <c r="C22" s="112">
        <v>547</v>
      </c>
      <c r="E22" s="77">
        <f>SUM(E19:E21)</f>
        <v>573</v>
      </c>
      <c r="G22" s="77">
        <f>SUM(G19:G21)</f>
        <v>571</v>
      </c>
      <c r="I22" s="77">
        <f>SUM(I19:I21)</f>
        <v>560</v>
      </c>
      <c r="K22" s="77">
        <f>SUM(K19:K21)</f>
        <v>567</v>
      </c>
      <c r="M22" s="76"/>
      <c r="N22" s="63"/>
    </row>
    <row r="23" spans="1:17" s="40" customFormat="1" x14ac:dyDescent="0.2">
      <c r="A23" s="38" t="s">
        <v>199</v>
      </c>
      <c r="B23" s="39"/>
      <c r="E23" s="77"/>
      <c r="M23" s="63"/>
      <c r="N23" s="63"/>
    </row>
    <row r="24" spans="1:17" s="40" customFormat="1" x14ac:dyDescent="0.2">
      <c r="A24" s="41" t="s">
        <v>518</v>
      </c>
      <c r="B24" s="39"/>
      <c r="C24" s="112">
        <v>301</v>
      </c>
      <c r="E24" s="77">
        <v>322</v>
      </c>
      <c r="G24" s="77">
        <v>325</v>
      </c>
      <c r="I24" s="77">
        <v>310</v>
      </c>
      <c r="K24" s="77">
        <v>310</v>
      </c>
      <c r="M24" s="76"/>
      <c r="N24" s="63"/>
    </row>
    <row r="25" spans="1:17" s="40" customFormat="1" x14ac:dyDescent="0.2">
      <c r="A25" s="41" t="s">
        <v>523</v>
      </c>
      <c r="B25" s="39"/>
      <c r="C25" s="112">
        <v>246</v>
      </c>
      <c r="E25" s="77">
        <v>251</v>
      </c>
      <c r="G25" s="77">
        <v>246</v>
      </c>
      <c r="I25" s="77">
        <v>250</v>
      </c>
      <c r="K25" s="77">
        <v>257</v>
      </c>
      <c r="M25" s="76"/>
      <c r="N25" s="63"/>
    </row>
    <row r="26" spans="1:17" s="40" customFormat="1" x14ac:dyDescent="0.2">
      <c r="A26" s="41" t="s">
        <v>198</v>
      </c>
      <c r="B26" s="39"/>
      <c r="C26" s="112">
        <v>547</v>
      </c>
      <c r="E26" s="77">
        <f>SUM(E24:E25)</f>
        <v>573</v>
      </c>
      <c r="G26" s="77">
        <f>SUM(G24:G25)</f>
        <v>571</v>
      </c>
      <c r="I26" s="77">
        <f>SUM(I24:I25)</f>
        <v>560</v>
      </c>
      <c r="K26" s="77">
        <f>SUM(K24:K25)</f>
        <v>567</v>
      </c>
      <c r="M26" s="76"/>
      <c r="N26" s="63"/>
    </row>
    <row r="27" spans="1:17" s="48" customFormat="1" x14ac:dyDescent="0.2">
      <c r="A27" s="46"/>
      <c r="B27" s="47"/>
      <c r="M27" s="331"/>
      <c r="N27" s="331"/>
    </row>
    <row r="28" spans="1:17" s="48" customFormat="1" x14ac:dyDescent="0.2">
      <c r="A28" s="49" t="s">
        <v>200</v>
      </c>
      <c r="B28" s="50"/>
      <c r="C28" s="51"/>
      <c r="D28" s="52"/>
      <c r="E28" s="53"/>
      <c r="F28" s="52"/>
      <c r="G28" s="53"/>
      <c r="H28" s="52"/>
      <c r="I28" s="53"/>
      <c r="J28" s="52"/>
      <c r="K28" s="53"/>
      <c r="L28" s="52"/>
      <c r="M28" s="51"/>
      <c r="N28" s="52"/>
    </row>
    <row r="29" spans="1:17" ht="27.75" customHeight="1" x14ac:dyDescent="0.2">
      <c r="A29" s="1738" t="s">
        <v>524</v>
      </c>
      <c r="B29" s="1736"/>
      <c r="C29" s="1737"/>
      <c r="D29" s="1736"/>
      <c r="E29" s="1737"/>
      <c r="F29" s="1736"/>
      <c r="G29" s="1737"/>
      <c r="H29" s="1736"/>
      <c r="I29" s="1737"/>
      <c r="J29" s="1736"/>
      <c r="K29" s="1737"/>
      <c r="L29" s="1736"/>
      <c r="M29" s="1737"/>
      <c r="N29" s="1736"/>
      <c r="O29" s="54"/>
      <c r="P29" s="54"/>
      <c r="Q29" s="951"/>
    </row>
    <row r="30" spans="1:17" ht="27.75" customHeight="1" x14ac:dyDescent="0.2">
      <c r="A30" s="1738"/>
      <c r="B30" s="1736"/>
      <c r="C30" s="1737"/>
      <c r="D30" s="1736"/>
      <c r="E30" s="1737"/>
      <c r="F30" s="1736"/>
      <c r="G30" s="1737"/>
      <c r="H30" s="1736"/>
      <c r="I30" s="1737"/>
      <c r="J30" s="1736"/>
      <c r="K30" s="1737"/>
      <c r="L30" s="1736"/>
      <c r="M30" s="1737"/>
      <c r="N30" s="1736"/>
      <c r="O30" s="54"/>
      <c r="P30" s="54"/>
    </row>
    <row r="31" spans="1:17" x14ac:dyDescent="0.2">
      <c r="A31" s="1738"/>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ht="27.75" customHeight="1" x14ac:dyDescent="0.2">
      <c r="A37" s="1735"/>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x14ac:dyDescent="0.2">
      <c r="A39" s="55"/>
      <c r="B39" s="54"/>
      <c r="C39" s="56"/>
      <c r="D39" s="54"/>
      <c r="E39" s="56"/>
      <c r="F39" s="54"/>
      <c r="G39" s="56"/>
      <c r="H39" s="54"/>
      <c r="I39" s="56"/>
      <c r="J39" s="54"/>
      <c r="K39" s="56"/>
      <c r="L39" s="54"/>
      <c r="M39" s="56"/>
      <c r="N39" s="54"/>
      <c r="O39" s="54"/>
      <c r="P39" s="54"/>
    </row>
    <row r="40" spans="1:17" x14ac:dyDescent="0.2">
      <c r="A40" s="55"/>
      <c r="B40" s="54"/>
      <c r="C40" s="54"/>
      <c r="D40" s="54"/>
      <c r="E40" s="54"/>
      <c r="F40" s="54"/>
      <c r="G40" s="54"/>
      <c r="H40" s="54"/>
      <c r="I40" s="54"/>
      <c r="J40" s="54"/>
      <c r="K40" s="54"/>
      <c r="L40" s="54"/>
      <c r="M40" s="54"/>
      <c r="N40" s="54"/>
      <c r="O40" s="54"/>
      <c r="P40" s="54"/>
    </row>
    <row r="41" spans="1:17" x14ac:dyDescent="0.2">
      <c r="A41" s="55"/>
      <c r="B41" s="54"/>
      <c r="C41" s="56"/>
      <c r="D41" s="54"/>
      <c r="E41" s="56"/>
      <c r="F41" s="54"/>
      <c r="G41" s="56"/>
      <c r="H41" s="54"/>
      <c r="I41" s="56"/>
      <c r="J41" s="54"/>
      <c r="K41" s="56"/>
      <c r="L41" s="54"/>
      <c r="M41" s="56"/>
      <c r="N41" s="54"/>
      <c r="O41" s="54"/>
      <c r="P41" s="54"/>
    </row>
    <row r="42" spans="1:17" x14ac:dyDescent="0.2">
      <c r="A42" s="55"/>
      <c r="B42" s="54"/>
      <c r="C42" s="54"/>
      <c r="D42" s="54"/>
      <c r="E42" s="54"/>
      <c r="F42" s="54"/>
      <c r="G42" s="54"/>
      <c r="H42" s="54"/>
      <c r="I42" s="54"/>
      <c r="J42" s="54"/>
      <c r="K42" s="54"/>
      <c r="L42" s="54"/>
      <c r="M42" s="54"/>
      <c r="N42" s="54"/>
      <c r="O42" s="54"/>
      <c r="P42" s="54"/>
    </row>
    <row r="43" spans="1:17" x14ac:dyDescent="0.2">
      <c r="A43" s="55"/>
      <c r="B43" s="54"/>
      <c r="C43" s="56"/>
      <c r="D43" s="54"/>
      <c r="E43" s="56"/>
      <c r="F43" s="54"/>
      <c r="G43" s="56"/>
      <c r="H43" s="54"/>
      <c r="I43" s="56"/>
      <c r="J43" s="54"/>
      <c r="K43" s="56"/>
      <c r="L43" s="54"/>
      <c r="M43" s="56"/>
      <c r="N43" s="54"/>
      <c r="O43" s="54"/>
      <c r="P43" s="54"/>
    </row>
    <row r="44" spans="1:17" x14ac:dyDescent="0.2">
      <c r="A44" s="55"/>
      <c r="B44" s="54"/>
      <c r="C44" s="54"/>
      <c r="D44" s="54"/>
      <c r="E44" s="54"/>
      <c r="F44" s="54"/>
      <c r="G44" s="54"/>
      <c r="H44" s="54"/>
      <c r="I44" s="54"/>
      <c r="J44" s="54"/>
      <c r="K44" s="54"/>
      <c r="L44" s="54"/>
      <c r="M44" s="54"/>
      <c r="N44" s="54"/>
      <c r="O44" s="54"/>
      <c r="P44" s="54"/>
    </row>
    <row r="45" spans="1:17" x14ac:dyDescent="0.2">
      <c r="A45" s="55"/>
      <c r="B45" s="54"/>
      <c r="C45" s="54"/>
      <c r="D45" s="54"/>
      <c r="E45" s="54"/>
      <c r="F45" s="54"/>
      <c r="G45" s="54"/>
      <c r="H45" s="54"/>
      <c r="I45" s="54"/>
      <c r="J45" s="54"/>
      <c r="K45" s="54"/>
      <c r="L45" s="54"/>
      <c r="M45" s="54"/>
      <c r="N45" s="54"/>
      <c r="O45" s="54"/>
      <c r="P45" s="54"/>
    </row>
    <row r="46" spans="1:17" x14ac:dyDescent="0.2">
      <c r="A46" s="55"/>
      <c r="B46" s="54"/>
      <c r="C46" s="54"/>
      <c r="D46" s="54"/>
      <c r="E46" s="54"/>
      <c r="F46" s="54"/>
      <c r="G46" s="54"/>
      <c r="H46" s="54"/>
      <c r="I46" s="54"/>
      <c r="J46" s="54"/>
      <c r="K46" s="54"/>
      <c r="L46" s="54"/>
      <c r="M46" s="54"/>
      <c r="N46" s="54"/>
      <c r="O46" s="54"/>
      <c r="P46" s="54"/>
      <c r="Q46" s="57"/>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sheetData>
  <mergeCells count="11">
    <mergeCell ref="A35:N35"/>
    <mergeCell ref="A36:N36"/>
    <mergeCell ref="A37:N37"/>
    <mergeCell ref="A38:N38"/>
    <mergeCell ref="K2:K3"/>
    <mergeCell ref="A29:N29"/>
    <mergeCell ref="A30:N30"/>
    <mergeCell ref="A31:N31"/>
    <mergeCell ref="A32:N32"/>
    <mergeCell ref="A33:N33"/>
    <mergeCell ref="A34:N34"/>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5">
    <pageSetUpPr fitToPage="1"/>
  </sheetPr>
  <dimension ref="A1:Q274"/>
  <sheetViews>
    <sheetView showGridLines="0" zoomScaleNormal="100" zoomScaleSheetLayoutView="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7" s="4" customFormat="1" ht="15.75" x14ac:dyDescent="0.2">
      <c r="A1" s="1" t="s">
        <v>174</v>
      </c>
      <c r="B1" s="2">
        <v>2019</v>
      </c>
      <c r="C1" s="3"/>
      <c r="E1" s="3"/>
      <c r="G1" s="5"/>
      <c r="I1" s="5"/>
      <c r="J1" s="6"/>
      <c r="K1" s="5"/>
      <c r="L1" s="6"/>
      <c r="M1" s="5"/>
      <c r="N1" s="6"/>
    </row>
    <row r="2" spans="1:17" s="4" customFormat="1" ht="15.75" x14ac:dyDescent="0.25">
      <c r="A2" s="1" t="s">
        <v>175</v>
      </c>
      <c r="B2" s="7" t="s">
        <v>176</v>
      </c>
      <c r="C2" s="7" t="s">
        <v>0</v>
      </c>
      <c r="D2" s="6"/>
      <c r="E2" s="8"/>
      <c r="F2" s="9"/>
      <c r="G2" s="8"/>
      <c r="H2" s="6"/>
      <c r="I2" s="8"/>
      <c r="J2" s="6"/>
      <c r="K2" s="1733" t="s">
        <v>171</v>
      </c>
      <c r="L2" s="6"/>
      <c r="M2" s="8"/>
      <c r="N2" s="6"/>
    </row>
    <row r="3" spans="1:17" s="4" customFormat="1" ht="15.75" x14ac:dyDescent="0.25">
      <c r="A3" s="1" t="s">
        <v>177</v>
      </c>
      <c r="B3" s="10" t="s">
        <v>514</v>
      </c>
      <c r="C3" s="10" t="s">
        <v>515</v>
      </c>
      <c r="D3" s="6"/>
      <c r="E3" s="11"/>
      <c r="F3" s="9"/>
      <c r="G3" s="11"/>
      <c r="H3" s="6"/>
      <c r="I3" s="11"/>
      <c r="J3" s="6"/>
      <c r="K3" s="1734"/>
      <c r="L3" s="6"/>
      <c r="M3" s="11"/>
      <c r="N3" s="6"/>
    </row>
    <row r="4" spans="1:17" s="4" customFormat="1" ht="15.75" x14ac:dyDescent="0.25">
      <c r="A4" s="1" t="s">
        <v>180</v>
      </c>
      <c r="B4" s="10" t="s">
        <v>339</v>
      </c>
      <c r="C4" s="10" t="s">
        <v>7</v>
      </c>
      <c r="D4" s="6"/>
      <c r="E4" s="11"/>
      <c r="F4" s="9"/>
      <c r="G4" s="11"/>
      <c r="H4" s="6"/>
      <c r="I4" s="11"/>
      <c r="J4" s="6"/>
      <c r="K4" s="11"/>
      <c r="L4" s="6"/>
      <c r="M4" s="11"/>
      <c r="N4" s="6"/>
    </row>
    <row r="5" spans="1:17" s="4" customFormat="1" ht="15.75" x14ac:dyDescent="0.2">
      <c r="A5" s="1" t="s">
        <v>183</v>
      </c>
      <c r="B5" s="12" t="s">
        <v>211</v>
      </c>
      <c r="C5" s="12" t="s">
        <v>211</v>
      </c>
      <c r="D5" s="13"/>
      <c r="E5" s="14"/>
      <c r="G5" s="14"/>
      <c r="I5" s="14"/>
      <c r="K5" s="14"/>
      <c r="M5" s="14"/>
    </row>
    <row r="6" spans="1:17" s="4" customFormat="1" ht="15.75" x14ac:dyDescent="0.25">
      <c r="A6" s="15" t="s">
        <v>186</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187</v>
      </c>
      <c r="L7" s="23"/>
      <c r="M7" s="22" t="s">
        <v>187</v>
      </c>
      <c r="N7" s="23"/>
    </row>
    <row r="8" spans="1:17"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7"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7" s="48" customFormat="1" ht="12" customHeight="1" x14ac:dyDescent="0.2">
      <c r="A10" s="35" t="s">
        <v>525</v>
      </c>
      <c r="B10" s="50"/>
      <c r="C10" s="331"/>
      <c r="D10" s="331"/>
    </row>
    <row r="11" spans="1:17" x14ac:dyDescent="0.2">
      <c r="A11" s="35" t="s">
        <v>222</v>
      </c>
      <c r="B11" s="36"/>
      <c r="C11" s="59"/>
      <c r="D11" s="59"/>
      <c r="O11" s="54"/>
      <c r="P11" s="54"/>
      <c r="Q11" s="951"/>
    </row>
    <row r="12" spans="1:17" x14ac:dyDescent="0.2">
      <c r="A12" s="35" t="s">
        <v>526</v>
      </c>
      <c r="B12" s="36"/>
      <c r="C12" s="59"/>
      <c r="D12" s="59"/>
      <c r="O12" s="54"/>
      <c r="P12" s="54"/>
    </row>
    <row r="13" spans="1:17" x14ac:dyDescent="0.2">
      <c r="A13" s="41" t="s">
        <v>527</v>
      </c>
      <c r="B13" s="39"/>
      <c r="C13" s="59"/>
      <c r="D13" s="59"/>
      <c r="O13" s="54"/>
      <c r="P13" s="54"/>
    </row>
    <row r="14" spans="1:17" x14ac:dyDescent="0.2">
      <c r="A14" s="90" t="s">
        <v>528</v>
      </c>
      <c r="B14" s="39"/>
      <c r="C14" s="168"/>
      <c r="D14" s="168"/>
      <c r="E14" s="168"/>
      <c r="M14" s="332"/>
      <c r="O14" s="54"/>
      <c r="P14" s="54"/>
    </row>
    <row r="15" spans="1:17" x14ac:dyDescent="0.2">
      <c r="A15" s="131" t="s">
        <v>529</v>
      </c>
      <c r="B15" s="39"/>
      <c r="C15" s="1732">
        <v>189</v>
      </c>
      <c r="D15" s="168"/>
      <c r="E15" s="1732">
        <v>180</v>
      </c>
      <c r="G15" s="59">
        <v>180</v>
      </c>
      <c r="I15" s="1732">
        <v>162</v>
      </c>
      <c r="K15" s="1732">
        <v>162</v>
      </c>
      <c r="M15" s="332"/>
      <c r="O15" s="54"/>
      <c r="P15" s="54"/>
    </row>
    <row r="16" spans="1:17" x14ac:dyDescent="0.2">
      <c r="A16" s="131" t="s">
        <v>530</v>
      </c>
      <c r="B16" s="39"/>
      <c r="C16" s="1732">
        <v>3</v>
      </c>
      <c r="D16" s="168"/>
      <c r="E16" s="1732">
        <v>3</v>
      </c>
      <c r="G16" s="59">
        <v>3</v>
      </c>
      <c r="I16" s="1732">
        <v>3</v>
      </c>
      <c r="K16" s="1732">
        <v>3</v>
      </c>
      <c r="M16" s="332"/>
      <c r="O16" s="54"/>
      <c r="P16" s="54"/>
    </row>
    <row r="17" spans="1:16" x14ac:dyDescent="0.2">
      <c r="A17" s="90" t="s">
        <v>531</v>
      </c>
      <c r="B17" s="39"/>
      <c r="C17" s="168"/>
      <c r="D17" s="168"/>
      <c r="E17" s="168"/>
      <c r="I17" s="168"/>
      <c r="K17" s="168"/>
      <c r="M17" s="332"/>
      <c r="O17" s="54"/>
      <c r="P17" s="54"/>
    </row>
    <row r="18" spans="1:16" x14ac:dyDescent="0.2">
      <c r="A18" s="131" t="s">
        <v>529</v>
      </c>
      <c r="B18" s="39"/>
      <c r="C18" s="168"/>
      <c r="D18" s="168"/>
      <c r="E18" s="168"/>
      <c r="G18" s="59">
        <v>0</v>
      </c>
      <c r="I18" s="168">
        <v>20</v>
      </c>
      <c r="K18" s="168">
        <v>20</v>
      </c>
      <c r="M18" s="332"/>
      <c r="O18" s="54"/>
      <c r="P18" s="54"/>
    </row>
    <row r="19" spans="1:16" x14ac:dyDescent="0.2">
      <c r="A19" s="131"/>
      <c r="B19" s="39"/>
      <c r="C19" s="168"/>
      <c r="D19" s="168"/>
      <c r="E19" s="168"/>
      <c r="I19" s="168"/>
      <c r="K19" s="168"/>
      <c r="M19" s="333"/>
      <c r="O19" s="54"/>
      <c r="P19" s="54"/>
    </row>
    <row r="20" spans="1:16" x14ac:dyDescent="0.2">
      <c r="A20" s="35" t="s">
        <v>517</v>
      </c>
      <c r="B20" s="36"/>
      <c r="C20" s="168"/>
      <c r="D20" s="168"/>
      <c r="E20" s="168"/>
      <c r="I20" s="168"/>
      <c r="K20" s="168"/>
      <c r="M20" s="333"/>
      <c r="O20" s="54"/>
      <c r="P20" s="54"/>
    </row>
    <row r="21" spans="1:16" x14ac:dyDescent="0.2">
      <c r="A21" s="334" t="s">
        <v>532</v>
      </c>
      <c r="B21" s="335"/>
      <c r="C21" s="1732">
        <v>1865</v>
      </c>
      <c r="D21" s="168"/>
      <c r="E21" s="1732">
        <v>1863</v>
      </c>
      <c r="G21" s="199">
        <v>1863</v>
      </c>
      <c r="I21" s="1732">
        <v>1863</v>
      </c>
      <c r="K21" s="1732">
        <v>1863</v>
      </c>
      <c r="M21" s="336"/>
      <c r="N21" s="1426"/>
      <c r="O21" s="54"/>
      <c r="P21" s="54"/>
    </row>
    <row r="22" spans="1:16" x14ac:dyDescent="0.2">
      <c r="A22" s="41" t="s">
        <v>354</v>
      </c>
      <c r="B22" s="39"/>
      <c r="C22" s="1732">
        <v>1649</v>
      </c>
      <c r="D22" s="168"/>
      <c r="E22" s="1732">
        <v>1600</v>
      </c>
      <c r="G22" s="199">
        <v>1620</v>
      </c>
      <c r="I22" s="1732">
        <v>1481</v>
      </c>
      <c r="K22" s="1732">
        <v>1481</v>
      </c>
      <c r="M22" s="333"/>
      <c r="O22" s="54"/>
      <c r="P22" s="54"/>
    </row>
    <row r="23" spans="1:16" x14ac:dyDescent="0.2">
      <c r="A23" s="41" t="s">
        <v>533</v>
      </c>
      <c r="B23" s="39"/>
      <c r="C23" s="337">
        <v>51211</v>
      </c>
      <c r="D23" s="168"/>
      <c r="E23" s="337">
        <v>51318</v>
      </c>
      <c r="G23" s="338">
        <v>51314</v>
      </c>
      <c r="I23" s="337">
        <v>55271</v>
      </c>
      <c r="K23" s="337">
        <v>57038</v>
      </c>
      <c r="M23" s="339"/>
      <c r="O23" s="54"/>
      <c r="P23" s="54"/>
    </row>
    <row r="24" spans="1:16" x14ac:dyDescent="0.2">
      <c r="A24" s="41" t="s">
        <v>534</v>
      </c>
      <c r="B24" s="39"/>
      <c r="C24" s="340">
        <v>139.91999999999999</v>
      </c>
      <c r="D24" s="168"/>
      <c r="E24" s="340">
        <v>140.6</v>
      </c>
      <c r="G24" s="341">
        <v>140.59</v>
      </c>
      <c r="I24" s="340">
        <v>151.43</v>
      </c>
      <c r="K24" s="340">
        <v>156.27000000000001</v>
      </c>
      <c r="M24" s="342"/>
      <c r="O24" s="54"/>
    </row>
    <row r="25" spans="1:16" x14ac:dyDescent="0.2">
      <c r="A25" s="41"/>
      <c r="B25" s="39"/>
      <c r="C25" s="168"/>
      <c r="D25" s="168"/>
      <c r="E25" s="168"/>
      <c r="I25" s="168"/>
      <c r="K25" s="168"/>
      <c r="M25" s="343"/>
      <c r="O25" s="54"/>
    </row>
    <row r="26" spans="1:16" x14ac:dyDescent="0.2">
      <c r="A26" s="344" t="s">
        <v>535</v>
      </c>
      <c r="B26" s="25"/>
      <c r="C26" s="168"/>
      <c r="D26" s="168"/>
      <c r="E26" s="168"/>
      <c r="I26" s="168"/>
      <c r="K26" s="168"/>
      <c r="M26" s="333"/>
    </row>
    <row r="27" spans="1:16" x14ac:dyDescent="0.2">
      <c r="A27" s="35" t="s">
        <v>222</v>
      </c>
      <c r="B27" s="36"/>
      <c r="C27" s="168"/>
      <c r="D27" s="168"/>
      <c r="E27" s="168"/>
      <c r="I27" s="168"/>
      <c r="K27" s="168"/>
      <c r="M27" s="333"/>
    </row>
    <row r="28" spans="1:16" x14ac:dyDescent="0.2">
      <c r="A28" s="35" t="s">
        <v>526</v>
      </c>
      <c r="B28" s="36"/>
      <c r="C28" s="168"/>
      <c r="D28" s="168"/>
      <c r="E28" s="168"/>
      <c r="I28" s="168"/>
      <c r="K28" s="168"/>
      <c r="M28" s="333"/>
    </row>
    <row r="29" spans="1:16" x14ac:dyDescent="0.2">
      <c r="A29" s="41" t="s">
        <v>527</v>
      </c>
      <c r="B29" s="39"/>
      <c r="C29" s="168"/>
      <c r="D29" s="168"/>
      <c r="E29" s="168"/>
      <c r="I29" s="168"/>
      <c r="K29" s="168"/>
      <c r="M29" s="333"/>
    </row>
    <row r="30" spans="1:16" x14ac:dyDescent="0.2">
      <c r="A30" s="90" t="s">
        <v>528</v>
      </c>
      <c r="B30" s="39"/>
      <c r="C30" s="168"/>
      <c r="D30" s="168"/>
      <c r="E30" s="168"/>
      <c r="I30" s="168"/>
      <c r="K30" s="168"/>
      <c r="M30" s="332"/>
      <c r="O30" s="54"/>
      <c r="P30" s="54"/>
    </row>
    <row r="31" spans="1:16" x14ac:dyDescent="0.2">
      <c r="A31" s="131" t="s">
        <v>529</v>
      </c>
      <c r="B31" s="39"/>
      <c r="C31" s="1732">
        <v>22</v>
      </c>
      <c r="D31" s="168"/>
      <c r="E31" s="1732">
        <v>16</v>
      </c>
      <c r="G31" s="59">
        <v>16</v>
      </c>
      <c r="I31" s="1732">
        <v>11</v>
      </c>
      <c r="K31" s="1732">
        <v>11</v>
      </c>
      <c r="M31" s="332"/>
      <c r="O31" s="54"/>
      <c r="P31" s="54"/>
    </row>
    <row r="32" spans="1:16" hidden="1" x14ac:dyDescent="0.2">
      <c r="A32" s="131" t="s">
        <v>530</v>
      </c>
      <c r="B32" s="39"/>
      <c r="C32" s="1732"/>
      <c r="D32" s="168"/>
      <c r="E32" s="1732"/>
      <c r="G32" s="59">
        <v>0</v>
      </c>
      <c r="I32" s="1732"/>
      <c r="K32" s="1732"/>
      <c r="M32" s="332"/>
      <c r="O32" s="54"/>
      <c r="P32" s="54"/>
    </row>
    <row r="33" spans="1:16" x14ac:dyDescent="0.2">
      <c r="A33" s="90" t="s">
        <v>531</v>
      </c>
      <c r="B33" s="39"/>
      <c r="C33" s="1732"/>
      <c r="D33" s="168"/>
      <c r="E33" s="1732"/>
      <c r="I33" s="1732"/>
      <c r="K33" s="1732"/>
      <c r="M33" s="332"/>
      <c r="O33" s="54"/>
      <c r="P33" s="54"/>
    </row>
    <row r="34" spans="1:16" x14ac:dyDescent="0.2">
      <c r="A34" s="131" t="s">
        <v>529</v>
      </c>
      <c r="B34" s="39"/>
      <c r="C34" s="1732">
        <v>12</v>
      </c>
      <c r="D34" s="168"/>
      <c r="E34" s="1732">
        <v>5</v>
      </c>
      <c r="G34" s="59">
        <v>5</v>
      </c>
      <c r="I34" s="1732">
        <v>10</v>
      </c>
      <c r="K34" s="1732">
        <v>10</v>
      </c>
      <c r="M34" s="332"/>
      <c r="O34" s="54"/>
      <c r="P34" s="54"/>
    </row>
    <row r="35" spans="1:16" x14ac:dyDescent="0.2">
      <c r="A35" s="131"/>
      <c r="B35" s="39"/>
      <c r="C35" s="1732"/>
      <c r="D35" s="168"/>
      <c r="E35" s="1732"/>
      <c r="I35" s="1732"/>
      <c r="K35" s="1732"/>
      <c r="M35" s="333"/>
    </row>
    <row r="36" spans="1:16" x14ac:dyDescent="0.2">
      <c r="A36" s="35" t="s">
        <v>517</v>
      </c>
      <c r="B36" s="36"/>
      <c r="C36" s="1732"/>
      <c r="D36" s="168"/>
      <c r="E36" s="1732"/>
      <c r="I36" s="1732"/>
      <c r="K36" s="1732"/>
      <c r="M36" s="333"/>
    </row>
    <row r="37" spans="1:16" x14ac:dyDescent="0.2">
      <c r="A37" s="334" t="s">
        <v>532</v>
      </c>
      <c r="B37" s="335"/>
      <c r="C37" s="1732">
        <v>972</v>
      </c>
      <c r="D37" s="168"/>
      <c r="E37" s="1732">
        <v>972</v>
      </c>
      <c r="G37" s="59">
        <v>972</v>
      </c>
      <c r="I37" s="1732">
        <v>972</v>
      </c>
      <c r="K37" s="1732">
        <v>972</v>
      </c>
      <c r="M37" s="345"/>
    </row>
    <row r="38" spans="1:16" x14ac:dyDescent="0.2">
      <c r="A38" s="41" t="s">
        <v>354</v>
      </c>
      <c r="B38" s="39"/>
      <c r="C38" s="1732">
        <v>615</v>
      </c>
      <c r="D38" s="168"/>
      <c r="E38" s="1732">
        <v>754</v>
      </c>
      <c r="G38" s="59">
        <v>784</v>
      </c>
      <c r="I38" s="1732">
        <v>642</v>
      </c>
      <c r="K38" s="1732">
        <v>642</v>
      </c>
      <c r="M38" s="332"/>
    </row>
    <row r="39" spans="1:16" x14ac:dyDescent="0.2">
      <c r="A39" s="41" t="s">
        <v>533</v>
      </c>
      <c r="B39" s="39"/>
      <c r="C39" s="337">
        <v>67852</v>
      </c>
      <c r="D39" s="168"/>
      <c r="E39" s="337">
        <v>56000</v>
      </c>
      <c r="G39" s="338">
        <v>55861</v>
      </c>
      <c r="I39" s="337">
        <v>64449</v>
      </c>
      <c r="K39" s="337">
        <v>66065</v>
      </c>
      <c r="M39" s="339"/>
    </row>
    <row r="40" spans="1:16" x14ac:dyDescent="0.2">
      <c r="A40" s="41" t="s">
        <v>534</v>
      </c>
      <c r="B40" s="39"/>
      <c r="C40" s="340">
        <v>185.39</v>
      </c>
      <c r="D40" s="168"/>
      <c r="E40" s="340">
        <v>153.41999999999999</v>
      </c>
      <c r="G40" s="341">
        <v>153.04</v>
      </c>
      <c r="I40" s="340">
        <v>176.57</v>
      </c>
      <c r="K40" s="340">
        <v>181</v>
      </c>
      <c r="M40" s="342"/>
    </row>
    <row r="41" spans="1:16" x14ac:dyDescent="0.2">
      <c r="A41" s="41"/>
      <c r="B41" s="39"/>
      <c r="C41" s="168"/>
      <c r="D41" s="168"/>
      <c r="E41" s="168"/>
      <c r="I41" s="168"/>
      <c r="K41" s="168"/>
      <c r="M41" s="333"/>
    </row>
    <row r="42" spans="1:16" x14ac:dyDescent="0.2">
      <c r="A42" s="344" t="s">
        <v>536</v>
      </c>
      <c r="B42" s="25"/>
      <c r="C42" s="168"/>
      <c r="D42" s="168"/>
      <c r="E42" s="168"/>
      <c r="I42" s="168"/>
      <c r="K42" s="168"/>
      <c r="M42" s="333"/>
    </row>
    <row r="43" spans="1:16" x14ac:dyDescent="0.2">
      <c r="A43" s="35" t="s">
        <v>222</v>
      </c>
      <c r="B43" s="36"/>
      <c r="C43" s="168"/>
      <c r="D43" s="168"/>
      <c r="E43" s="168"/>
      <c r="I43" s="168"/>
      <c r="K43" s="168"/>
      <c r="M43" s="333"/>
    </row>
    <row r="44" spans="1:16" x14ac:dyDescent="0.2">
      <c r="A44" s="35" t="s">
        <v>526</v>
      </c>
      <c r="B44" s="36"/>
      <c r="C44" s="168"/>
      <c r="D44" s="168"/>
      <c r="E44" s="168"/>
      <c r="I44" s="168"/>
      <c r="K44" s="168"/>
      <c r="M44" s="333"/>
    </row>
    <row r="45" spans="1:16" x14ac:dyDescent="0.2">
      <c r="A45" s="41" t="s">
        <v>527</v>
      </c>
      <c r="B45" s="39"/>
      <c r="C45" s="168"/>
      <c r="D45" s="168"/>
      <c r="E45" s="168"/>
      <c r="I45" s="168"/>
      <c r="K45" s="168"/>
      <c r="M45" s="333"/>
    </row>
    <row r="46" spans="1:16" x14ac:dyDescent="0.2">
      <c r="A46" s="90" t="s">
        <v>528</v>
      </c>
      <c r="B46" s="39"/>
      <c r="C46" s="168"/>
      <c r="D46" s="168"/>
      <c r="E46" s="168"/>
      <c r="I46" s="168"/>
      <c r="K46" s="168"/>
      <c r="M46" s="332"/>
      <c r="O46" s="54"/>
      <c r="P46" s="54"/>
    </row>
    <row r="47" spans="1:16" x14ac:dyDescent="0.2">
      <c r="A47" s="131" t="s">
        <v>529</v>
      </c>
      <c r="B47" s="39"/>
      <c r="C47" s="1732">
        <v>278</v>
      </c>
      <c r="D47" s="168"/>
      <c r="E47" s="1732">
        <v>163</v>
      </c>
      <c r="G47" s="59">
        <v>163</v>
      </c>
      <c r="I47" s="1732">
        <v>211</v>
      </c>
      <c r="K47" s="1732">
        <v>211</v>
      </c>
      <c r="M47" s="332"/>
      <c r="O47" s="54"/>
      <c r="P47" s="54"/>
    </row>
    <row r="48" spans="1:16" hidden="1" x14ac:dyDescent="0.2">
      <c r="A48" s="131" t="s">
        <v>530</v>
      </c>
      <c r="B48" s="39"/>
      <c r="C48" s="1732"/>
      <c r="D48" s="168"/>
      <c r="E48" s="1732"/>
      <c r="G48" s="59">
        <v>0</v>
      </c>
      <c r="I48" s="1732"/>
      <c r="K48" s="1732"/>
      <c r="M48" s="332"/>
      <c r="O48" s="54"/>
      <c r="P48" s="54"/>
    </row>
    <row r="49" spans="1:16" x14ac:dyDescent="0.2">
      <c r="A49" s="90" t="s">
        <v>531</v>
      </c>
      <c r="B49" s="39"/>
      <c r="C49" s="1732"/>
      <c r="D49" s="168"/>
      <c r="E49" s="1732"/>
      <c r="I49" s="1732"/>
      <c r="K49" s="1732"/>
      <c r="M49" s="332"/>
      <c r="O49" s="54"/>
      <c r="P49" s="54"/>
    </row>
    <row r="50" spans="1:16" x14ac:dyDescent="0.2">
      <c r="A50" s="131" t="s">
        <v>529</v>
      </c>
      <c r="B50" s="39"/>
      <c r="C50" s="1732"/>
      <c r="D50" s="168"/>
      <c r="E50" s="1732"/>
      <c r="G50" s="59">
        <v>0</v>
      </c>
      <c r="I50" s="1732">
        <v>11</v>
      </c>
      <c r="K50" s="1732">
        <v>11</v>
      </c>
      <c r="M50" s="332"/>
      <c r="O50" s="54"/>
      <c r="P50" s="54"/>
    </row>
    <row r="51" spans="1:16" x14ac:dyDescent="0.2">
      <c r="A51" s="131"/>
      <c r="B51" s="39"/>
      <c r="C51" s="1732"/>
      <c r="D51" s="168"/>
      <c r="E51" s="1732"/>
      <c r="I51" s="1732"/>
      <c r="K51" s="1732"/>
      <c r="M51" s="333"/>
    </row>
    <row r="52" spans="1:16" x14ac:dyDescent="0.2">
      <c r="A52" s="35" t="s">
        <v>537</v>
      </c>
      <c r="B52" s="36"/>
      <c r="C52" s="1732"/>
      <c r="D52" s="168"/>
      <c r="E52" s="1732"/>
      <c r="I52" s="1732"/>
      <c r="K52" s="1732"/>
      <c r="M52" s="333"/>
    </row>
    <row r="53" spans="1:16" x14ac:dyDescent="0.2">
      <c r="A53" s="334" t="s">
        <v>532</v>
      </c>
      <c r="B53" s="346"/>
      <c r="C53" s="1732">
        <v>1298</v>
      </c>
      <c r="D53" s="168"/>
      <c r="E53" s="1732">
        <v>1314</v>
      </c>
      <c r="G53" s="199">
        <v>1298</v>
      </c>
      <c r="I53" s="1732">
        <v>1314</v>
      </c>
      <c r="K53" s="1732">
        <v>1314</v>
      </c>
      <c r="M53" s="336"/>
    </row>
    <row r="54" spans="1:16" x14ac:dyDescent="0.2">
      <c r="A54" s="41" t="s">
        <v>354</v>
      </c>
      <c r="B54" s="347"/>
      <c r="C54" s="1732">
        <v>1232</v>
      </c>
      <c r="D54" s="168"/>
      <c r="E54" s="1732">
        <v>1215</v>
      </c>
      <c r="G54" s="199">
        <v>1200</v>
      </c>
      <c r="I54" s="1732">
        <v>1213</v>
      </c>
      <c r="K54" s="1732">
        <v>1213</v>
      </c>
      <c r="M54" s="333"/>
    </row>
    <row r="55" spans="1:16" x14ac:dyDescent="0.2">
      <c r="A55" s="41" t="s">
        <v>533</v>
      </c>
      <c r="B55" s="347"/>
      <c r="C55" s="337">
        <v>48191</v>
      </c>
      <c r="D55" s="168"/>
      <c r="E55" s="337">
        <v>48587</v>
      </c>
      <c r="G55" s="338">
        <v>46038</v>
      </c>
      <c r="I55" s="337">
        <v>46261</v>
      </c>
      <c r="K55" s="337">
        <v>46749</v>
      </c>
      <c r="M55" s="339"/>
    </row>
    <row r="56" spans="1:16" x14ac:dyDescent="0.2">
      <c r="A56" s="41" t="s">
        <v>534</v>
      </c>
      <c r="B56" s="347"/>
      <c r="C56" s="340">
        <v>131.66999999999999</v>
      </c>
      <c r="D56" s="168"/>
      <c r="E56" s="340">
        <v>133.11000000000001</v>
      </c>
      <c r="G56" s="341">
        <v>126.13</v>
      </c>
      <c r="I56" s="340">
        <v>126.74</v>
      </c>
      <c r="K56" s="340">
        <v>128.08000000000001</v>
      </c>
      <c r="M56" s="342"/>
    </row>
    <row r="57" spans="1:16" x14ac:dyDescent="0.2">
      <c r="A57" s="41"/>
      <c r="B57" s="39"/>
      <c r="C57" s="168"/>
      <c r="D57" s="168"/>
      <c r="E57" s="168"/>
      <c r="I57" s="168"/>
      <c r="K57" s="168"/>
      <c r="M57" s="343"/>
    </row>
    <row r="58" spans="1:16" x14ac:dyDescent="0.2">
      <c r="A58" s="344" t="s">
        <v>538</v>
      </c>
      <c r="C58" s="168"/>
      <c r="D58" s="168"/>
      <c r="E58" s="168"/>
      <c r="I58" s="168"/>
      <c r="K58" s="168"/>
      <c r="M58" s="333"/>
    </row>
    <row r="59" spans="1:16" x14ac:dyDescent="0.2">
      <c r="A59" s="344" t="s">
        <v>222</v>
      </c>
      <c r="B59" s="31"/>
      <c r="C59" s="168"/>
      <c r="D59" s="168"/>
      <c r="E59" s="168"/>
      <c r="I59" s="168"/>
      <c r="K59" s="168"/>
      <c r="M59" s="333"/>
    </row>
    <row r="60" spans="1:16" x14ac:dyDescent="0.2">
      <c r="A60" s="344" t="s">
        <v>526</v>
      </c>
      <c r="B60" s="31"/>
      <c r="C60" s="168"/>
      <c r="D60" s="168"/>
      <c r="E60" s="168"/>
      <c r="I60" s="168"/>
      <c r="K60" s="168"/>
      <c r="M60" s="333"/>
    </row>
    <row r="61" spans="1:16" x14ac:dyDescent="0.2">
      <c r="A61" s="348" t="s">
        <v>527</v>
      </c>
      <c r="B61" s="31"/>
      <c r="C61" s="168"/>
      <c r="D61" s="168"/>
      <c r="E61" s="168"/>
      <c r="I61" s="168"/>
      <c r="K61" s="168"/>
      <c r="M61" s="333"/>
    </row>
    <row r="62" spans="1:16" x14ac:dyDescent="0.2">
      <c r="A62" s="90" t="s">
        <v>528</v>
      </c>
      <c r="B62" s="39"/>
      <c r="C62" s="168"/>
      <c r="D62" s="168"/>
      <c r="E62" s="168"/>
      <c r="I62" s="168"/>
      <c r="K62" s="168"/>
      <c r="M62" s="332"/>
      <c r="O62" s="54"/>
      <c r="P62" s="54"/>
    </row>
    <row r="63" spans="1:16" x14ac:dyDescent="0.2">
      <c r="A63" s="131" t="s">
        <v>529</v>
      </c>
      <c r="B63" s="39"/>
      <c r="C63" s="1732">
        <v>210</v>
      </c>
      <c r="D63" s="168"/>
      <c r="E63" s="1732">
        <v>241</v>
      </c>
      <c r="G63" s="59">
        <v>241</v>
      </c>
      <c r="I63" s="1732">
        <v>353</v>
      </c>
      <c r="K63" s="1732">
        <v>353</v>
      </c>
      <c r="M63" s="332"/>
      <c r="O63" s="54"/>
      <c r="P63" s="54"/>
    </row>
    <row r="64" spans="1:16" hidden="1" x14ac:dyDescent="0.2">
      <c r="A64" s="131" t="s">
        <v>530</v>
      </c>
      <c r="B64" s="39"/>
      <c r="C64" s="1732"/>
      <c r="D64" s="168"/>
      <c r="E64" s="1732"/>
      <c r="G64" s="59">
        <v>0</v>
      </c>
      <c r="I64" s="1732"/>
      <c r="K64" s="1732"/>
      <c r="M64" s="332"/>
      <c r="O64" s="54"/>
      <c r="P64" s="54"/>
    </row>
    <row r="65" spans="1:16" x14ac:dyDescent="0.2">
      <c r="A65" s="90" t="s">
        <v>531</v>
      </c>
      <c r="B65" s="39"/>
      <c r="C65" s="1732"/>
      <c r="D65" s="168"/>
      <c r="E65" s="1732"/>
      <c r="I65" s="1732"/>
      <c r="K65" s="1732"/>
      <c r="M65" s="332"/>
      <c r="O65" s="54"/>
      <c r="P65" s="54"/>
    </row>
    <row r="66" spans="1:16" x14ac:dyDescent="0.2">
      <c r="A66" s="131" t="s">
        <v>529</v>
      </c>
      <c r="B66" s="39"/>
      <c r="C66" s="1732">
        <v>193</v>
      </c>
      <c r="D66" s="168"/>
      <c r="E66" s="1732">
        <v>176</v>
      </c>
      <c r="G66" s="59">
        <v>176</v>
      </c>
      <c r="I66" s="1732">
        <v>168</v>
      </c>
      <c r="K66" s="1732">
        <v>168</v>
      </c>
      <c r="M66" s="332"/>
      <c r="O66" s="54"/>
      <c r="P66" s="54"/>
    </row>
    <row r="67" spans="1:16" hidden="1" x14ac:dyDescent="0.2">
      <c r="A67" s="131" t="s">
        <v>530</v>
      </c>
      <c r="B67" s="39"/>
      <c r="C67" s="1732"/>
      <c r="D67" s="168"/>
      <c r="E67" s="1732"/>
      <c r="G67" s="59">
        <v>0</v>
      </c>
      <c r="I67" s="1732"/>
      <c r="K67" s="1732"/>
      <c r="M67" s="332"/>
      <c r="O67" s="54"/>
      <c r="P67" s="54"/>
    </row>
    <row r="68" spans="1:16" x14ac:dyDescent="0.2">
      <c r="A68" s="30"/>
      <c r="B68" s="31"/>
      <c r="C68" s="1732"/>
      <c r="D68" s="168"/>
      <c r="E68" s="1732"/>
      <c r="I68" s="1732"/>
      <c r="K68" s="1732"/>
      <c r="M68" s="333"/>
    </row>
    <row r="69" spans="1:16" x14ac:dyDescent="0.2">
      <c r="A69" s="35" t="s">
        <v>517</v>
      </c>
      <c r="B69" s="36"/>
      <c r="C69" s="1732"/>
      <c r="D69" s="168"/>
      <c r="E69" s="1732"/>
      <c r="I69" s="1732"/>
      <c r="K69" s="1732"/>
      <c r="M69" s="333"/>
    </row>
    <row r="70" spans="1:16" x14ac:dyDescent="0.2">
      <c r="A70" s="334" t="s">
        <v>532</v>
      </c>
      <c r="B70" s="335"/>
      <c r="C70" s="1732">
        <v>3474</v>
      </c>
      <c r="D70" s="168"/>
      <c r="E70" s="1732">
        <v>3474</v>
      </c>
      <c r="G70" s="199">
        <v>3474</v>
      </c>
      <c r="I70" s="1732">
        <v>3474</v>
      </c>
      <c r="K70" s="1732">
        <v>3474</v>
      </c>
      <c r="M70" s="336"/>
    </row>
    <row r="71" spans="1:16" x14ac:dyDescent="0.2">
      <c r="A71" s="41" t="s">
        <v>354</v>
      </c>
      <c r="B71" s="39"/>
      <c r="C71" s="1732">
        <v>3365</v>
      </c>
      <c r="D71" s="168"/>
      <c r="E71" s="1732">
        <v>3360</v>
      </c>
      <c r="G71" s="199">
        <v>3278</v>
      </c>
      <c r="I71" s="1732">
        <v>3294</v>
      </c>
      <c r="K71" s="1732">
        <v>3294</v>
      </c>
      <c r="M71" s="333"/>
    </row>
    <row r="72" spans="1:16" x14ac:dyDescent="0.2">
      <c r="A72" s="41" t="s">
        <v>533</v>
      </c>
      <c r="B72" s="39"/>
      <c r="C72" s="337">
        <v>36152</v>
      </c>
      <c r="D72" s="168"/>
      <c r="E72" s="337">
        <v>34023</v>
      </c>
      <c r="G72" s="338">
        <v>32811</v>
      </c>
      <c r="I72" s="337">
        <v>32760</v>
      </c>
      <c r="K72" s="337">
        <v>32949</v>
      </c>
      <c r="M72" s="339"/>
    </row>
    <row r="73" spans="1:16" x14ac:dyDescent="0.2">
      <c r="A73" s="41" t="s">
        <v>534</v>
      </c>
      <c r="B73" s="39"/>
      <c r="C73" s="340">
        <v>98.77</v>
      </c>
      <c r="D73" s="168"/>
      <c r="E73" s="340">
        <v>93.21</v>
      </c>
      <c r="G73" s="341">
        <v>89.89</v>
      </c>
      <c r="I73" s="340">
        <v>89.75</v>
      </c>
      <c r="K73" s="340">
        <v>90.27</v>
      </c>
      <c r="M73" s="342"/>
    </row>
    <row r="74" spans="1:16" x14ac:dyDescent="0.2">
      <c r="A74" s="41"/>
      <c r="B74" s="39"/>
      <c r="C74" s="168"/>
      <c r="D74" s="168"/>
      <c r="E74" s="168"/>
      <c r="I74" s="168"/>
      <c r="K74" s="168"/>
      <c r="M74" s="333"/>
    </row>
    <row r="75" spans="1:16" x14ac:dyDescent="0.2">
      <c r="A75" s="344" t="s">
        <v>539</v>
      </c>
      <c r="C75" s="168"/>
      <c r="D75" s="168"/>
      <c r="E75" s="168"/>
      <c r="I75" s="168"/>
      <c r="K75" s="168"/>
      <c r="M75" s="333"/>
    </row>
    <row r="76" spans="1:16" x14ac:dyDescent="0.2">
      <c r="A76" s="35" t="s">
        <v>222</v>
      </c>
      <c r="B76" s="36"/>
      <c r="C76" s="168"/>
      <c r="D76" s="168"/>
      <c r="E76" s="168"/>
      <c r="I76" s="168"/>
      <c r="K76" s="168"/>
      <c r="M76" s="333"/>
    </row>
    <row r="77" spans="1:16" x14ac:dyDescent="0.2">
      <c r="A77" s="35" t="s">
        <v>526</v>
      </c>
      <c r="B77" s="36"/>
      <c r="C77" s="168"/>
      <c r="D77" s="168"/>
      <c r="E77" s="168"/>
      <c r="I77" s="168"/>
      <c r="K77" s="168"/>
      <c r="M77" s="333"/>
    </row>
    <row r="78" spans="1:16" x14ac:dyDescent="0.2">
      <c r="A78" s="41" t="s">
        <v>527</v>
      </c>
      <c r="B78" s="39"/>
      <c r="C78" s="168"/>
      <c r="D78" s="168"/>
      <c r="E78" s="168"/>
      <c r="I78" s="168"/>
      <c r="K78" s="168"/>
      <c r="M78" s="333"/>
    </row>
    <row r="79" spans="1:16" x14ac:dyDescent="0.2">
      <c r="A79" s="90" t="s">
        <v>528</v>
      </c>
      <c r="B79" s="39"/>
      <c r="C79" s="168"/>
      <c r="D79" s="168"/>
      <c r="E79" s="168"/>
      <c r="I79" s="168"/>
      <c r="K79" s="168"/>
      <c r="M79" s="332"/>
      <c r="O79" s="54"/>
      <c r="P79" s="54"/>
    </row>
    <row r="80" spans="1:16" x14ac:dyDescent="0.2">
      <c r="A80" s="131" t="s">
        <v>529</v>
      </c>
      <c r="B80" s="39"/>
      <c r="C80" s="1732">
        <v>230</v>
      </c>
      <c r="D80" s="168"/>
      <c r="E80" s="1732">
        <v>324</v>
      </c>
      <c r="G80" s="199">
        <v>324</v>
      </c>
      <c r="I80" s="1732">
        <v>284</v>
      </c>
      <c r="K80" s="1732">
        <v>284</v>
      </c>
      <c r="M80" s="333"/>
      <c r="O80" s="54"/>
      <c r="P80" s="54"/>
    </row>
    <row r="81" spans="1:16" x14ac:dyDescent="0.2">
      <c r="A81" s="90" t="s">
        <v>531</v>
      </c>
      <c r="B81" s="39"/>
      <c r="C81" s="1732"/>
      <c r="D81" s="168"/>
      <c r="E81" s="1732"/>
      <c r="I81" s="1732"/>
      <c r="K81" s="1732"/>
      <c r="M81" s="332"/>
      <c r="O81" s="54"/>
      <c r="P81" s="54"/>
    </row>
    <row r="82" spans="1:16" x14ac:dyDescent="0.2">
      <c r="A82" s="131" t="s">
        <v>529</v>
      </c>
      <c r="B82" s="39"/>
      <c r="C82" s="1732">
        <v>126</v>
      </c>
      <c r="D82" s="168"/>
      <c r="E82" s="1732">
        <v>151</v>
      </c>
      <c r="G82" s="59">
        <v>151</v>
      </c>
      <c r="I82" s="1732">
        <v>145</v>
      </c>
      <c r="K82" s="1732">
        <v>145</v>
      </c>
      <c r="M82" s="332"/>
      <c r="O82" s="54"/>
      <c r="P82" s="54"/>
    </row>
    <row r="83" spans="1:16" x14ac:dyDescent="0.2">
      <c r="A83" s="131"/>
      <c r="B83" s="39"/>
      <c r="C83" s="1732"/>
      <c r="D83" s="168"/>
      <c r="E83" s="1732"/>
      <c r="I83" s="1732"/>
      <c r="K83" s="1732"/>
      <c r="M83" s="333"/>
    </row>
    <row r="84" spans="1:16" x14ac:dyDescent="0.2">
      <c r="A84" s="35" t="s">
        <v>517</v>
      </c>
      <c r="B84" s="36"/>
      <c r="C84" s="1732"/>
      <c r="D84" s="168"/>
      <c r="E84" s="1732"/>
      <c r="I84" s="1732"/>
      <c r="K84" s="1732"/>
      <c r="M84" s="333"/>
    </row>
    <row r="85" spans="1:16" x14ac:dyDescent="0.2">
      <c r="A85" s="334" t="s">
        <v>532</v>
      </c>
      <c r="B85" s="335"/>
      <c r="C85" s="1732">
        <v>2237</v>
      </c>
      <c r="D85" s="168"/>
      <c r="E85" s="1732">
        <v>2230</v>
      </c>
      <c r="G85" s="199">
        <v>2237</v>
      </c>
      <c r="I85" s="1732">
        <v>1880</v>
      </c>
      <c r="K85" s="1732">
        <v>1880</v>
      </c>
      <c r="M85" s="336"/>
      <c r="N85" s="1426"/>
      <c r="O85" s="1426"/>
    </row>
    <row r="86" spans="1:16" x14ac:dyDescent="0.2">
      <c r="A86" s="41" t="s">
        <v>354</v>
      </c>
      <c r="B86" s="39"/>
      <c r="C86" s="1732">
        <v>2135</v>
      </c>
      <c r="D86" s="168"/>
      <c r="E86" s="1732">
        <v>1921</v>
      </c>
      <c r="G86" s="199">
        <v>2011</v>
      </c>
      <c r="I86" s="1732">
        <v>1640</v>
      </c>
      <c r="K86" s="1732">
        <v>1640</v>
      </c>
      <c r="M86" s="333"/>
      <c r="O86" s="199"/>
    </row>
    <row r="87" spans="1:16" x14ac:dyDescent="0.2">
      <c r="A87" s="41" t="s">
        <v>533</v>
      </c>
      <c r="B87" s="39"/>
      <c r="C87" s="349">
        <v>29410</v>
      </c>
      <c r="D87" s="168"/>
      <c r="E87" s="349">
        <v>32141</v>
      </c>
      <c r="G87" s="350">
        <v>30456</v>
      </c>
      <c r="I87" s="349">
        <v>38692</v>
      </c>
      <c r="K87" s="349">
        <v>39050</v>
      </c>
      <c r="M87" s="351"/>
    </row>
    <row r="88" spans="1:16" x14ac:dyDescent="0.2">
      <c r="A88" s="41" t="s">
        <v>534</v>
      </c>
      <c r="B88" s="39"/>
      <c r="C88" s="352">
        <v>80.349999999999994</v>
      </c>
      <c r="D88" s="168"/>
      <c r="E88" s="352">
        <v>88.06</v>
      </c>
      <c r="G88" s="353">
        <v>83.44</v>
      </c>
      <c r="I88" s="352">
        <v>106.01</v>
      </c>
      <c r="K88" s="352">
        <v>106.99</v>
      </c>
      <c r="M88" s="354"/>
    </row>
    <row r="89" spans="1:16" x14ac:dyDescent="0.2">
      <c r="A89" s="41"/>
      <c r="B89" s="39"/>
      <c r="C89" s="168"/>
      <c r="D89" s="168"/>
      <c r="E89" s="168"/>
      <c r="I89" s="168"/>
      <c r="K89" s="168"/>
      <c r="M89" s="343"/>
    </row>
    <row r="90" spans="1:16" x14ac:dyDescent="0.2">
      <c r="A90" s="344" t="s">
        <v>540</v>
      </c>
      <c r="C90" s="168"/>
      <c r="D90" s="168"/>
      <c r="E90" s="168"/>
      <c r="I90" s="168"/>
      <c r="K90" s="168"/>
      <c r="M90" s="333"/>
    </row>
    <row r="91" spans="1:16" x14ac:dyDescent="0.2">
      <c r="A91" s="35" t="s">
        <v>222</v>
      </c>
      <c r="B91" s="36"/>
      <c r="C91" s="168"/>
      <c r="D91" s="168"/>
      <c r="E91" s="168"/>
      <c r="I91" s="168"/>
      <c r="K91" s="168"/>
      <c r="M91" s="333"/>
    </row>
    <row r="92" spans="1:16" x14ac:dyDescent="0.2">
      <c r="A92" s="35" t="s">
        <v>526</v>
      </c>
      <c r="B92" s="36"/>
      <c r="C92" s="168"/>
      <c r="D92" s="168"/>
      <c r="E92" s="168"/>
      <c r="I92" s="168"/>
      <c r="K92" s="168"/>
      <c r="M92" s="333"/>
    </row>
    <row r="93" spans="1:16" x14ac:dyDescent="0.2">
      <c r="A93" s="41" t="s">
        <v>527</v>
      </c>
      <c r="B93" s="39"/>
      <c r="C93" s="168"/>
      <c r="D93" s="168"/>
      <c r="E93" s="168"/>
      <c r="I93" s="168"/>
      <c r="K93" s="168"/>
      <c r="M93" s="333"/>
    </row>
    <row r="94" spans="1:16" x14ac:dyDescent="0.2">
      <c r="A94" s="90" t="s">
        <v>528</v>
      </c>
      <c r="B94" s="39"/>
      <c r="C94" s="168"/>
      <c r="D94" s="168"/>
      <c r="E94" s="168"/>
      <c r="I94" s="168"/>
      <c r="K94" s="168"/>
      <c r="M94" s="332"/>
      <c r="O94" s="54"/>
      <c r="P94" s="54"/>
    </row>
    <row r="95" spans="1:16" x14ac:dyDescent="0.2">
      <c r="A95" s="131" t="s">
        <v>529</v>
      </c>
      <c r="B95" s="39"/>
      <c r="C95" s="1732">
        <v>201</v>
      </c>
      <c r="D95" s="168"/>
      <c r="E95" s="1732">
        <v>367</v>
      </c>
      <c r="G95" s="355">
        <v>367</v>
      </c>
      <c r="I95" s="1732">
        <v>285</v>
      </c>
      <c r="K95" s="1732">
        <v>285</v>
      </c>
      <c r="M95" s="356"/>
      <c r="O95" s="54"/>
      <c r="P95" s="54"/>
    </row>
    <row r="96" spans="1:16" x14ac:dyDescent="0.2">
      <c r="A96" s="90" t="s">
        <v>531</v>
      </c>
      <c r="B96" s="39"/>
      <c r="C96" s="1732"/>
      <c r="D96" s="168"/>
      <c r="E96" s="1732"/>
      <c r="I96" s="1732"/>
      <c r="K96" s="1732"/>
      <c r="M96" s="332"/>
      <c r="O96" s="54"/>
      <c r="P96" s="54"/>
    </row>
    <row r="97" spans="1:16" x14ac:dyDescent="0.2">
      <c r="A97" s="131" t="s">
        <v>529</v>
      </c>
      <c r="B97" s="39"/>
      <c r="C97" s="1732">
        <v>89</v>
      </c>
      <c r="D97" s="168"/>
      <c r="E97" s="1732">
        <v>152</v>
      </c>
      <c r="G97" s="59">
        <v>152</v>
      </c>
      <c r="I97" s="1732">
        <v>109</v>
      </c>
      <c r="K97" s="1732">
        <v>109</v>
      </c>
      <c r="M97" s="332"/>
      <c r="O97" s="54"/>
      <c r="P97" s="54"/>
    </row>
    <row r="98" spans="1:16" x14ac:dyDescent="0.2">
      <c r="A98" s="131"/>
      <c r="B98" s="39"/>
      <c r="C98" s="1732"/>
      <c r="D98" s="168"/>
      <c r="E98" s="1732"/>
      <c r="I98" s="1732"/>
      <c r="K98" s="1732"/>
      <c r="M98" s="333"/>
    </row>
    <row r="99" spans="1:16" x14ac:dyDescent="0.2">
      <c r="A99" s="35" t="s">
        <v>517</v>
      </c>
      <c r="B99" s="36"/>
      <c r="C99" s="1732"/>
      <c r="D99" s="168"/>
      <c r="E99" s="1732"/>
      <c r="I99" s="1732"/>
      <c r="K99" s="1732"/>
      <c r="M99" s="333"/>
    </row>
    <row r="100" spans="1:16" x14ac:dyDescent="0.2">
      <c r="A100" s="334" t="s">
        <v>532</v>
      </c>
      <c r="B100" s="357"/>
      <c r="C100" s="1732">
        <v>2151</v>
      </c>
      <c r="D100" s="168"/>
      <c r="E100" s="1732">
        <v>2071</v>
      </c>
      <c r="G100" s="358">
        <v>2071</v>
      </c>
      <c r="I100" s="1732">
        <v>2071</v>
      </c>
      <c r="K100" s="1732">
        <v>2071</v>
      </c>
      <c r="M100" s="359"/>
    </row>
    <row r="101" spans="1:16" x14ac:dyDescent="0.2">
      <c r="A101" s="41" t="s">
        <v>354</v>
      </c>
      <c r="B101" s="360"/>
      <c r="C101" s="1732">
        <v>1851</v>
      </c>
      <c r="D101" s="168"/>
      <c r="E101" s="1732">
        <v>1696</v>
      </c>
      <c r="G101" s="199">
        <v>1485</v>
      </c>
      <c r="I101" s="1732">
        <v>1626</v>
      </c>
      <c r="K101" s="1732">
        <v>1626</v>
      </c>
      <c r="M101" s="333"/>
    </row>
    <row r="102" spans="1:16" x14ac:dyDescent="0.2">
      <c r="A102" s="41" t="s">
        <v>533</v>
      </c>
      <c r="B102" s="360"/>
      <c r="C102" s="337">
        <v>35178</v>
      </c>
      <c r="D102" s="168"/>
      <c r="E102" s="337">
        <v>38361</v>
      </c>
      <c r="G102" s="338">
        <v>41706</v>
      </c>
      <c r="I102" s="337">
        <v>40213</v>
      </c>
      <c r="K102" s="337">
        <v>39801</v>
      </c>
      <c r="M102" s="339"/>
    </row>
    <row r="103" spans="1:16" x14ac:dyDescent="0.2">
      <c r="A103" s="41" t="s">
        <v>534</v>
      </c>
      <c r="B103" s="360"/>
      <c r="C103" s="352">
        <v>96.11</v>
      </c>
      <c r="D103" s="168"/>
      <c r="E103" s="352">
        <v>105.1</v>
      </c>
      <c r="G103" s="353">
        <v>114.26</v>
      </c>
      <c r="I103" s="352">
        <v>110.17</v>
      </c>
      <c r="K103" s="352">
        <v>109.04</v>
      </c>
      <c r="M103" s="354"/>
    </row>
    <row r="104" spans="1:16" x14ac:dyDescent="0.2">
      <c r="A104" s="41"/>
      <c r="B104" s="39"/>
      <c r="C104" s="168"/>
      <c r="D104" s="168"/>
      <c r="E104" s="168"/>
      <c r="I104" s="168"/>
      <c r="K104" s="168"/>
      <c r="M104" s="333"/>
    </row>
    <row r="105" spans="1:16" x14ac:dyDescent="0.2">
      <c r="A105" s="344" t="s">
        <v>541</v>
      </c>
      <c r="C105" s="168"/>
      <c r="D105" s="168"/>
      <c r="E105" s="168"/>
      <c r="I105" s="168"/>
      <c r="K105" s="168"/>
      <c r="M105" s="333"/>
    </row>
    <row r="106" spans="1:16" x14ac:dyDescent="0.2">
      <c r="A106" s="35" t="s">
        <v>222</v>
      </c>
      <c r="B106" s="36"/>
      <c r="C106" s="168"/>
      <c r="D106" s="168"/>
      <c r="E106" s="168"/>
      <c r="I106" s="168"/>
      <c r="K106" s="168"/>
      <c r="M106" s="333"/>
    </row>
    <row r="107" spans="1:16" x14ac:dyDescent="0.2">
      <c r="A107" s="35" t="s">
        <v>526</v>
      </c>
      <c r="B107" s="36"/>
      <c r="C107" s="168"/>
      <c r="D107" s="168"/>
      <c r="E107" s="168"/>
      <c r="I107" s="168"/>
      <c r="K107" s="168"/>
      <c r="M107" s="333"/>
    </row>
    <row r="108" spans="1:16" x14ac:dyDescent="0.2">
      <c r="A108" s="41" t="s">
        <v>527</v>
      </c>
      <c r="B108" s="39"/>
      <c r="C108" s="168"/>
      <c r="D108" s="168"/>
      <c r="E108" s="168"/>
      <c r="I108" s="168"/>
      <c r="K108" s="168"/>
      <c r="M108" s="333"/>
    </row>
    <row r="109" spans="1:16" x14ac:dyDescent="0.2">
      <c r="A109" s="90" t="s">
        <v>528</v>
      </c>
      <c r="B109" s="39"/>
      <c r="C109" s="168"/>
      <c r="D109" s="168"/>
      <c r="E109" s="168"/>
      <c r="I109" s="168"/>
      <c r="K109" s="168"/>
      <c r="M109" s="332"/>
      <c r="O109" s="54"/>
      <c r="P109" s="54"/>
    </row>
    <row r="110" spans="1:16" x14ac:dyDescent="0.2">
      <c r="A110" s="131" t="s">
        <v>529</v>
      </c>
      <c r="B110" s="39"/>
      <c r="C110" s="1732" t="s">
        <v>542</v>
      </c>
      <c r="D110" s="168"/>
      <c r="E110" s="1732" t="s">
        <v>542</v>
      </c>
      <c r="G110" s="59">
        <v>0</v>
      </c>
      <c r="I110" s="1732">
        <v>80</v>
      </c>
      <c r="K110" s="1732">
        <v>80</v>
      </c>
      <c r="M110" s="332"/>
      <c r="O110" s="54"/>
      <c r="P110" s="54"/>
    </row>
    <row r="111" spans="1:16" hidden="1" x14ac:dyDescent="0.2">
      <c r="A111" s="131" t="s">
        <v>530</v>
      </c>
      <c r="B111" s="39"/>
      <c r="C111" s="1732" t="s">
        <v>542</v>
      </c>
      <c r="D111" s="168"/>
      <c r="E111" s="1732" t="s">
        <v>542</v>
      </c>
      <c r="G111" s="59">
        <v>0</v>
      </c>
      <c r="I111" s="1732">
        <v>0</v>
      </c>
      <c r="K111" s="1732">
        <v>0</v>
      </c>
      <c r="M111" s="332"/>
      <c r="O111" s="54"/>
      <c r="P111" s="54"/>
    </row>
    <row r="112" spans="1:16" x14ac:dyDescent="0.2">
      <c r="A112" s="361" t="s">
        <v>531</v>
      </c>
      <c r="B112" s="39"/>
      <c r="C112" s="1732"/>
      <c r="D112" s="168"/>
      <c r="E112" s="1732"/>
      <c r="I112" s="1732"/>
      <c r="K112" s="1732"/>
      <c r="M112" s="332"/>
      <c r="O112" s="54"/>
      <c r="P112" s="54"/>
    </row>
    <row r="113" spans="1:13" x14ac:dyDescent="0.2">
      <c r="A113" s="362" t="s">
        <v>529</v>
      </c>
      <c r="B113" s="39"/>
      <c r="C113" s="1732" t="s">
        <v>542</v>
      </c>
      <c r="D113" s="168"/>
      <c r="E113" s="1732" t="s">
        <v>542</v>
      </c>
      <c r="G113" s="59">
        <v>0</v>
      </c>
      <c r="I113" s="1732">
        <v>0</v>
      </c>
      <c r="K113" s="1732">
        <v>0</v>
      </c>
      <c r="M113" s="332"/>
    </row>
    <row r="114" spans="1:13" x14ac:dyDescent="0.2">
      <c r="A114" s="362"/>
      <c r="B114" s="39"/>
      <c r="C114" s="1732"/>
      <c r="D114" s="168"/>
      <c r="E114" s="1732"/>
      <c r="I114" s="1732"/>
      <c r="K114" s="1732"/>
      <c r="M114" s="333"/>
    </row>
    <row r="115" spans="1:13" x14ac:dyDescent="0.2">
      <c r="A115" s="35" t="s">
        <v>517</v>
      </c>
      <c r="B115" s="36"/>
      <c r="C115" s="1732"/>
      <c r="D115" s="168"/>
      <c r="E115" s="1732"/>
      <c r="I115" s="1732"/>
      <c r="K115" s="1732"/>
      <c r="M115" s="333"/>
    </row>
    <row r="116" spans="1:13" x14ac:dyDescent="0.2">
      <c r="A116" s="334" t="s">
        <v>532</v>
      </c>
      <c r="B116" s="335"/>
      <c r="C116" s="1732" t="s">
        <v>542</v>
      </c>
      <c r="D116" s="168"/>
      <c r="E116" s="1732">
        <v>696</v>
      </c>
      <c r="G116" s="59">
        <v>696</v>
      </c>
      <c r="I116" s="1732">
        <v>696</v>
      </c>
      <c r="K116" s="1732">
        <v>696</v>
      </c>
      <c r="M116" s="345"/>
    </row>
    <row r="117" spans="1:13" x14ac:dyDescent="0.2">
      <c r="A117" s="41" t="s">
        <v>354</v>
      </c>
      <c r="B117" s="39"/>
      <c r="C117" s="1732" t="s">
        <v>542</v>
      </c>
      <c r="D117" s="168"/>
      <c r="E117" s="1732">
        <v>80</v>
      </c>
      <c r="G117" s="59">
        <v>696</v>
      </c>
      <c r="I117" s="1732">
        <v>696</v>
      </c>
      <c r="K117" s="1732">
        <v>696</v>
      </c>
      <c r="M117" s="332"/>
    </row>
    <row r="118" spans="1:13" x14ac:dyDescent="0.2">
      <c r="A118" s="41" t="s">
        <v>533</v>
      </c>
      <c r="B118" s="39"/>
      <c r="C118" s="1732" t="s">
        <v>542</v>
      </c>
      <c r="D118" s="168"/>
      <c r="E118" s="1732" t="s">
        <v>542</v>
      </c>
      <c r="G118" s="338">
        <v>43753</v>
      </c>
      <c r="I118" s="1732">
        <v>44644</v>
      </c>
      <c r="K118" s="1732">
        <v>44984</v>
      </c>
      <c r="M118" s="339"/>
    </row>
    <row r="119" spans="1:13" x14ac:dyDescent="0.2">
      <c r="A119" s="41" t="s">
        <v>534</v>
      </c>
      <c r="B119" s="39"/>
      <c r="C119" s="1732" t="s">
        <v>542</v>
      </c>
      <c r="D119" s="168"/>
      <c r="E119" s="1732" t="s">
        <v>542</v>
      </c>
      <c r="G119" s="341">
        <v>119.87</v>
      </c>
      <c r="I119" s="1732">
        <v>122.31</v>
      </c>
      <c r="K119" s="1732">
        <v>123.24</v>
      </c>
      <c r="M119" s="342"/>
    </row>
    <row r="120" spans="1:13" x14ac:dyDescent="0.2">
      <c r="A120" s="41"/>
      <c r="B120" s="39"/>
      <c r="C120" s="168"/>
      <c r="D120" s="168"/>
      <c r="E120" s="168"/>
      <c r="I120" s="168"/>
      <c r="K120" s="168"/>
      <c r="M120" s="333"/>
    </row>
    <row r="121" spans="1:13" ht="12.75" hidden="1" customHeight="1" x14ac:dyDescent="0.2">
      <c r="A121" s="344" t="s">
        <v>543</v>
      </c>
      <c r="C121" s="168"/>
      <c r="D121" s="168"/>
      <c r="E121" s="168"/>
      <c r="I121" s="168"/>
      <c r="K121" s="168"/>
      <c r="M121" s="333"/>
    </row>
    <row r="122" spans="1:13" hidden="1" x14ac:dyDescent="0.2">
      <c r="A122" s="35" t="s">
        <v>222</v>
      </c>
      <c r="B122" s="36"/>
      <c r="C122" s="168"/>
      <c r="D122" s="168"/>
      <c r="E122" s="168"/>
      <c r="I122" s="168"/>
      <c r="K122" s="168"/>
      <c r="M122" s="333"/>
    </row>
    <row r="123" spans="1:13" hidden="1" x14ac:dyDescent="0.2">
      <c r="A123" s="35" t="s">
        <v>526</v>
      </c>
      <c r="B123" s="36"/>
      <c r="C123" s="168"/>
      <c r="D123" s="168"/>
      <c r="E123" s="168"/>
      <c r="I123" s="168"/>
      <c r="K123" s="168"/>
      <c r="M123" s="333"/>
    </row>
    <row r="124" spans="1:13" hidden="1" x14ac:dyDescent="0.2">
      <c r="A124" s="41" t="s">
        <v>527</v>
      </c>
      <c r="B124" s="39"/>
      <c r="C124" s="168"/>
      <c r="D124" s="168"/>
      <c r="E124" s="168"/>
      <c r="I124" s="168"/>
      <c r="K124" s="168"/>
      <c r="M124" s="333"/>
    </row>
    <row r="125" spans="1:13" hidden="1" x14ac:dyDescent="0.2">
      <c r="A125" s="90" t="s">
        <v>544</v>
      </c>
      <c r="B125" s="39"/>
      <c r="C125" s="168"/>
      <c r="D125" s="168"/>
      <c r="E125" s="168"/>
      <c r="I125" s="168"/>
      <c r="K125" s="168"/>
      <c r="M125" s="333"/>
    </row>
    <row r="126" spans="1:13" hidden="1" x14ac:dyDescent="0.2">
      <c r="A126" s="90" t="s">
        <v>545</v>
      </c>
      <c r="B126" s="39"/>
      <c r="C126" s="168"/>
      <c r="D126" s="168"/>
      <c r="E126" s="168"/>
      <c r="I126" s="168"/>
      <c r="K126" s="168"/>
      <c r="M126" s="333"/>
    </row>
    <row r="127" spans="1:13" hidden="1" x14ac:dyDescent="0.2">
      <c r="A127" s="90" t="s">
        <v>546</v>
      </c>
      <c r="B127" s="39"/>
      <c r="C127" s="168"/>
      <c r="D127" s="168"/>
      <c r="E127" s="168"/>
      <c r="I127" s="168"/>
      <c r="K127" s="168"/>
      <c r="M127" s="333"/>
    </row>
    <row r="128" spans="1:13" hidden="1" x14ac:dyDescent="0.2">
      <c r="A128" s="131"/>
      <c r="B128" s="39"/>
      <c r="C128" s="168"/>
      <c r="D128" s="168"/>
      <c r="E128" s="168"/>
      <c r="I128" s="168"/>
      <c r="K128" s="168"/>
      <c r="M128" s="333"/>
    </row>
    <row r="129" spans="1:16" hidden="1" x14ac:dyDescent="0.2">
      <c r="A129" s="35" t="s">
        <v>517</v>
      </c>
      <c r="B129" s="36"/>
      <c r="C129" s="168"/>
      <c r="D129" s="168"/>
      <c r="E129" s="168"/>
      <c r="I129" s="168"/>
      <c r="K129" s="168"/>
      <c r="M129" s="333"/>
    </row>
    <row r="130" spans="1:16" hidden="1" x14ac:dyDescent="0.2">
      <c r="A130" s="41" t="s">
        <v>547</v>
      </c>
      <c r="B130" s="39"/>
      <c r="C130" s="168"/>
      <c r="D130" s="168"/>
      <c r="E130" s="168"/>
      <c r="I130" s="168"/>
      <c r="K130" s="168"/>
      <c r="M130" s="332"/>
    </row>
    <row r="131" spans="1:16" hidden="1" x14ac:dyDescent="0.2">
      <c r="A131" s="41" t="s">
        <v>354</v>
      </c>
      <c r="B131" s="39"/>
      <c r="C131" s="168"/>
      <c r="D131" s="168"/>
      <c r="E131" s="168"/>
      <c r="I131" s="168"/>
      <c r="K131" s="168"/>
      <c r="M131" s="333"/>
    </row>
    <row r="132" spans="1:16" hidden="1" x14ac:dyDescent="0.2">
      <c r="A132" s="41" t="s">
        <v>548</v>
      </c>
      <c r="B132" s="39"/>
      <c r="C132" s="168"/>
      <c r="D132" s="168"/>
      <c r="E132" s="168"/>
      <c r="I132" s="168"/>
      <c r="K132" s="168"/>
      <c r="M132" s="351"/>
    </row>
    <row r="133" spans="1:16" hidden="1" x14ac:dyDescent="0.2">
      <c r="A133" s="41" t="s">
        <v>534</v>
      </c>
      <c r="B133" s="39"/>
      <c r="C133" s="168"/>
      <c r="D133" s="168"/>
      <c r="E133" s="168"/>
      <c r="I133" s="168"/>
      <c r="K133" s="168"/>
      <c r="M133" s="354"/>
    </row>
    <row r="134" spans="1:16" hidden="1" x14ac:dyDescent="0.2">
      <c r="A134" s="41"/>
      <c r="B134" s="39"/>
      <c r="C134" s="168"/>
      <c r="D134" s="168"/>
      <c r="E134" s="168"/>
      <c r="I134" s="168"/>
      <c r="K134" s="168"/>
      <c r="M134" s="333"/>
    </row>
    <row r="135" spans="1:16" x14ac:dyDescent="0.2">
      <c r="A135" s="344" t="s">
        <v>549</v>
      </c>
      <c r="C135" s="168"/>
      <c r="D135" s="168"/>
      <c r="E135" s="168"/>
      <c r="I135" s="168"/>
      <c r="K135" s="168"/>
      <c r="M135" s="333"/>
    </row>
    <row r="136" spans="1:16" x14ac:dyDescent="0.2">
      <c r="A136" s="35" t="s">
        <v>222</v>
      </c>
      <c r="B136" s="36"/>
      <c r="C136" s="168"/>
      <c r="D136" s="168"/>
      <c r="E136" s="168"/>
      <c r="I136" s="168"/>
      <c r="K136" s="168"/>
      <c r="M136" s="333"/>
    </row>
    <row r="137" spans="1:16" x14ac:dyDescent="0.2">
      <c r="A137" s="35" t="s">
        <v>526</v>
      </c>
      <c r="B137" s="36"/>
      <c r="C137" s="168"/>
      <c r="D137" s="168"/>
      <c r="E137" s="168"/>
      <c r="I137" s="168"/>
      <c r="K137" s="168"/>
      <c r="M137" s="333"/>
    </row>
    <row r="138" spans="1:16" x14ac:dyDescent="0.2">
      <c r="A138" s="41" t="s">
        <v>527</v>
      </c>
      <c r="B138" s="39"/>
      <c r="C138" s="168"/>
      <c r="D138" s="168"/>
      <c r="E138" s="168"/>
      <c r="I138" s="168"/>
      <c r="K138" s="168"/>
      <c r="M138" s="333"/>
    </row>
    <row r="139" spans="1:16" x14ac:dyDescent="0.2">
      <c r="A139" s="90" t="s">
        <v>528</v>
      </c>
      <c r="B139" s="39"/>
      <c r="C139" s="168"/>
      <c r="D139" s="168"/>
      <c r="E139" s="168"/>
      <c r="I139" s="168"/>
      <c r="K139" s="168"/>
      <c r="M139" s="332"/>
      <c r="O139" s="54"/>
      <c r="P139" s="54"/>
    </row>
    <row r="140" spans="1:16" x14ac:dyDescent="0.2">
      <c r="A140" s="131" t="s">
        <v>529</v>
      </c>
      <c r="B140" s="39"/>
      <c r="C140" s="1732">
        <v>111</v>
      </c>
      <c r="D140" s="168"/>
      <c r="E140" s="1732">
        <v>195</v>
      </c>
      <c r="G140" s="59">
        <v>195</v>
      </c>
      <c r="I140" s="1732">
        <v>115</v>
      </c>
      <c r="K140" s="1732">
        <v>115</v>
      </c>
      <c r="M140" s="332"/>
      <c r="O140" s="54"/>
      <c r="P140" s="54"/>
    </row>
    <row r="141" spans="1:16" x14ac:dyDescent="0.2">
      <c r="A141" s="131" t="s">
        <v>530</v>
      </c>
      <c r="B141" s="39"/>
      <c r="C141" s="1732">
        <v>1</v>
      </c>
      <c r="D141" s="168"/>
      <c r="E141" s="1732">
        <v>1</v>
      </c>
      <c r="G141" s="59">
        <v>1</v>
      </c>
      <c r="I141" s="1732"/>
      <c r="K141" s="1732"/>
      <c r="M141" s="332"/>
      <c r="O141" s="54"/>
      <c r="P141" s="54"/>
    </row>
    <row r="142" spans="1:16" x14ac:dyDescent="0.2">
      <c r="A142" s="90" t="s">
        <v>531</v>
      </c>
      <c r="B142" s="39"/>
      <c r="C142" s="1732"/>
      <c r="D142" s="168"/>
      <c r="E142" s="1732"/>
      <c r="I142" s="1732"/>
      <c r="K142" s="1732"/>
      <c r="M142" s="332"/>
      <c r="O142" s="54"/>
      <c r="P142" s="54"/>
    </row>
    <row r="143" spans="1:16" x14ac:dyDescent="0.2">
      <c r="A143" s="131" t="s">
        <v>529</v>
      </c>
      <c r="B143" s="39"/>
      <c r="C143" s="1732">
        <v>92</v>
      </c>
      <c r="D143" s="168"/>
      <c r="E143" s="1732">
        <v>98</v>
      </c>
      <c r="G143" s="59">
        <v>98</v>
      </c>
      <c r="I143" s="1732">
        <v>65</v>
      </c>
      <c r="K143" s="1732">
        <v>65</v>
      </c>
      <c r="M143" s="332"/>
      <c r="O143" s="54"/>
      <c r="P143" s="54"/>
    </row>
    <row r="144" spans="1:16" x14ac:dyDescent="0.2">
      <c r="A144" s="131" t="s">
        <v>530</v>
      </c>
      <c r="B144" s="39"/>
      <c r="C144" s="1732"/>
      <c r="D144" s="168"/>
      <c r="E144" s="1732">
        <v>1</v>
      </c>
      <c r="G144" s="59">
        <v>0</v>
      </c>
      <c r="I144" s="1732">
        <v>1</v>
      </c>
      <c r="K144" s="1732">
        <v>1</v>
      </c>
      <c r="M144" s="332"/>
      <c r="O144" s="54"/>
      <c r="P144" s="54"/>
    </row>
    <row r="145" spans="1:16" x14ac:dyDescent="0.2">
      <c r="A145" s="131"/>
      <c r="B145" s="39"/>
      <c r="C145" s="1732"/>
      <c r="D145" s="168"/>
      <c r="E145" s="1732"/>
      <c r="I145" s="1732"/>
      <c r="K145" s="1732"/>
      <c r="M145" s="333"/>
    </row>
    <row r="146" spans="1:16" x14ac:dyDescent="0.2">
      <c r="A146" s="35" t="s">
        <v>517</v>
      </c>
      <c r="B146" s="36"/>
      <c r="C146" s="1732"/>
      <c r="D146" s="168"/>
      <c r="E146" s="1732"/>
      <c r="I146" s="1732"/>
      <c r="K146" s="1732"/>
      <c r="M146" s="333"/>
    </row>
    <row r="147" spans="1:16" x14ac:dyDescent="0.2">
      <c r="A147" s="334" t="s">
        <v>532</v>
      </c>
      <c r="B147" s="335"/>
      <c r="C147" s="1732">
        <v>854</v>
      </c>
      <c r="D147" s="168"/>
      <c r="E147" s="1732">
        <v>851</v>
      </c>
      <c r="G147" s="358">
        <v>846</v>
      </c>
      <c r="I147" s="1732">
        <v>851</v>
      </c>
      <c r="K147" s="1732">
        <v>851</v>
      </c>
      <c r="M147" s="359"/>
    </row>
    <row r="148" spans="1:16" x14ac:dyDescent="0.2">
      <c r="A148" s="41" t="s">
        <v>354</v>
      </c>
      <c r="B148" s="39"/>
      <c r="C148" s="1732">
        <v>708</v>
      </c>
      <c r="D148" s="168"/>
      <c r="E148" s="1732">
        <v>655</v>
      </c>
      <c r="G148" s="358">
        <v>659</v>
      </c>
      <c r="I148" s="1732">
        <v>616</v>
      </c>
      <c r="K148" s="1732">
        <v>616</v>
      </c>
      <c r="M148" s="363"/>
    </row>
    <row r="149" spans="1:16" x14ac:dyDescent="0.2">
      <c r="A149" s="41" t="s">
        <v>533</v>
      </c>
      <c r="B149" s="39"/>
      <c r="C149" s="337">
        <v>67164</v>
      </c>
      <c r="D149" s="168"/>
      <c r="E149" s="337">
        <v>74537</v>
      </c>
      <c r="G149" s="338">
        <v>74778</v>
      </c>
      <c r="I149" s="337">
        <v>81773</v>
      </c>
      <c r="K149" s="337">
        <v>84310</v>
      </c>
      <c r="M149" s="339"/>
    </row>
    <row r="150" spans="1:16" x14ac:dyDescent="0.2">
      <c r="A150" s="41" t="s">
        <v>534</v>
      </c>
      <c r="B150" s="39"/>
      <c r="C150" s="352">
        <v>183.51</v>
      </c>
      <c r="D150" s="168"/>
      <c r="E150" s="352">
        <v>204.21</v>
      </c>
      <c r="G150" s="353">
        <v>204.87</v>
      </c>
      <c r="I150" s="352">
        <v>224.03</v>
      </c>
      <c r="K150" s="352">
        <v>230.99</v>
      </c>
      <c r="M150" s="354"/>
    </row>
    <row r="151" spans="1:16" x14ac:dyDescent="0.2">
      <c r="A151" s="41"/>
      <c r="B151" s="39"/>
      <c r="C151" s="168"/>
      <c r="D151" s="168"/>
      <c r="E151" s="168"/>
      <c r="I151" s="168"/>
      <c r="K151" s="168"/>
      <c r="M151" s="333"/>
    </row>
    <row r="152" spans="1:16" x14ac:dyDescent="0.2">
      <c r="A152" s="344" t="s">
        <v>550</v>
      </c>
      <c r="C152" s="168"/>
      <c r="D152" s="168"/>
      <c r="E152" s="168"/>
      <c r="I152" s="168"/>
      <c r="K152" s="168"/>
      <c r="M152" s="333"/>
    </row>
    <row r="153" spans="1:16" x14ac:dyDescent="0.2">
      <c r="A153" s="35" t="s">
        <v>222</v>
      </c>
      <c r="B153" s="36"/>
      <c r="C153" s="168"/>
      <c r="D153" s="168"/>
      <c r="E153" s="168"/>
      <c r="I153" s="168"/>
      <c r="K153" s="168"/>
      <c r="M153" s="333"/>
    </row>
    <row r="154" spans="1:16" x14ac:dyDescent="0.2">
      <c r="A154" s="35" t="s">
        <v>526</v>
      </c>
      <c r="B154" s="36"/>
      <c r="C154" s="168"/>
      <c r="D154" s="168"/>
      <c r="E154" s="168"/>
      <c r="I154" s="168"/>
      <c r="K154" s="168"/>
      <c r="M154" s="333"/>
    </row>
    <row r="155" spans="1:16" x14ac:dyDescent="0.2">
      <c r="A155" s="41" t="s">
        <v>527</v>
      </c>
      <c r="B155" s="39"/>
      <c r="C155" s="168"/>
      <c r="D155" s="168"/>
      <c r="E155" s="168"/>
      <c r="I155" s="168"/>
      <c r="K155" s="168"/>
      <c r="M155" s="333"/>
    </row>
    <row r="156" spans="1:16" x14ac:dyDescent="0.2">
      <c r="A156" s="90" t="s">
        <v>528</v>
      </c>
      <c r="B156" s="39"/>
      <c r="C156" s="168"/>
      <c r="D156" s="168"/>
      <c r="E156" s="168"/>
      <c r="I156" s="168"/>
      <c r="K156" s="168"/>
      <c r="M156" s="332"/>
      <c r="O156" s="54"/>
      <c r="P156" s="54"/>
    </row>
    <row r="157" spans="1:16" x14ac:dyDescent="0.2">
      <c r="A157" s="131" t="s">
        <v>529</v>
      </c>
      <c r="B157" s="39"/>
      <c r="C157" s="1732">
        <v>609</v>
      </c>
      <c r="D157" s="168"/>
      <c r="E157" s="1732">
        <v>576</v>
      </c>
      <c r="G157" s="355">
        <v>576</v>
      </c>
      <c r="I157" s="1732">
        <v>434</v>
      </c>
      <c r="K157" s="1732">
        <v>434</v>
      </c>
      <c r="M157" s="356"/>
      <c r="O157" s="54"/>
      <c r="P157" s="54"/>
    </row>
    <row r="158" spans="1:16" x14ac:dyDescent="0.2">
      <c r="A158" s="131" t="s">
        <v>530</v>
      </c>
      <c r="B158" s="39"/>
      <c r="C158" s="1732">
        <v>2</v>
      </c>
      <c r="D158" s="168"/>
      <c r="E158" s="1732">
        <v>2</v>
      </c>
      <c r="G158" s="59">
        <v>2</v>
      </c>
      <c r="I158" s="1732">
        <v>3</v>
      </c>
      <c r="K158" s="1732">
        <v>3</v>
      </c>
      <c r="M158" s="332"/>
      <c r="O158" s="54"/>
      <c r="P158" s="54"/>
    </row>
    <row r="159" spans="1:16" x14ac:dyDescent="0.2">
      <c r="A159" s="90" t="s">
        <v>531</v>
      </c>
      <c r="B159" s="39"/>
      <c r="C159" s="1732"/>
      <c r="D159" s="168"/>
      <c r="E159" s="1732"/>
      <c r="I159" s="1732"/>
      <c r="K159" s="1732"/>
      <c r="M159" s="332"/>
      <c r="O159" s="54"/>
      <c r="P159" s="54"/>
    </row>
    <row r="160" spans="1:16" x14ac:dyDescent="0.2">
      <c r="A160" s="131" t="s">
        <v>529</v>
      </c>
      <c r="B160" s="39"/>
      <c r="C160" s="1732">
        <v>75</v>
      </c>
      <c r="D160" s="168"/>
      <c r="E160" s="1732">
        <v>73</v>
      </c>
      <c r="G160" s="59">
        <v>73</v>
      </c>
      <c r="I160" s="1732">
        <v>96</v>
      </c>
      <c r="K160" s="1732">
        <v>96</v>
      </c>
      <c r="M160" s="332"/>
      <c r="O160" s="54"/>
      <c r="P160" s="54"/>
    </row>
    <row r="161" spans="1:16" x14ac:dyDescent="0.2">
      <c r="A161" s="131"/>
      <c r="B161" s="39"/>
      <c r="C161" s="1732"/>
      <c r="D161" s="168"/>
      <c r="E161" s="1732"/>
      <c r="I161" s="1732"/>
      <c r="K161" s="1732"/>
      <c r="M161" s="333"/>
    </row>
    <row r="162" spans="1:16" x14ac:dyDescent="0.2">
      <c r="A162" s="35" t="s">
        <v>517</v>
      </c>
      <c r="B162" s="36"/>
      <c r="C162" s="1732"/>
      <c r="D162" s="168"/>
      <c r="E162" s="1732"/>
      <c r="I162" s="1732"/>
      <c r="K162" s="1732"/>
      <c r="M162" s="333"/>
    </row>
    <row r="163" spans="1:16" x14ac:dyDescent="0.2">
      <c r="A163" s="334" t="s">
        <v>532</v>
      </c>
      <c r="B163" s="335"/>
      <c r="C163" s="1732">
        <v>2703</v>
      </c>
      <c r="D163" s="168"/>
      <c r="E163" s="1732">
        <v>2791</v>
      </c>
      <c r="G163" s="358">
        <v>2643</v>
      </c>
      <c r="I163" s="1732">
        <v>2791</v>
      </c>
      <c r="K163" s="1732">
        <v>2791</v>
      </c>
      <c r="M163" s="359"/>
    </row>
    <row r="164" spans="1:16" x14ac:dyDescent="0.2">
      <c r="A164" s="41" t="s">
        <v>354</v>
      </c>
      <c r="B164" s="39"/>
      <c r="C164" s="1732">
        <v>2466</v>
      </c>
      <c r="D164" s="168"/>
      <c r="E164" s="1732">
        <v>2380</v>
      </c>
      <c r="G164" s="199">
        <v>2247</v>
      </c>
      <c r="I164" s="1732">
        <v>2376</v>
      </c>
      <c r="K164" s="1732">
        <v>2376</v>
      </c>
      <c r="M164" s="333"/>
    </row>
    <row r="165" spans="1:16" x14ac:dyDescent="0.2">
      <c r="A165" s="41" t="s">
        <v>533</v>
      </c>
      <c r="B165" s="39"/>
      <c r="C165" s="349">
        <v>37292</v>
      </c>
      <c r="D165" s="168"/>
      <c r="E165" s="349">
        <v>36994</v>
      </c>
      <c r="G165" s="350">
        <v>40406</v>
      </c>
      <c r="I165" s="349">
        <v>38229</v>
      </c>
      <c r="K165" s="349">
        <v>38158</v>
      </c>
      <c r="M165" s="351"/>
    </row>
    <row r="166" spans="1:16" x14ac:dyDescent="0.2">
      <c r="A166" s="41" t="s">
        <v>534</v>
      </c>
      <c r="B166" s="39"/>
      <c r="C166" s="352">
        <v>101.89</v>
      </c>
      <c r="D166" s="168"/>
      <c r="E166" s="352">
        <v>101.35</v>
      </c>
      <c r="G166" s="353">
        <v>110.7</v>
      </c>
      <c r="I166" s="352">
        <v>104.74</v>
      </c>
      <c r="K166" s="352">
        <v>104.54</v>
      </c>
      <c r="M166" s="354"/>
    </row>
    <row r="167" spans="1:16" x14ac:dyDescent="0.2">
      <c r="A167" s="41"/>
      <c r="B167" s="39"/>
      <c r="C167" s="168"/>
      <c r="D167" s="168"/>
      <c r="E167" s="168"/>
      <c r="I167" s="168"/>
      <c r="K167" s="168"/>
      <c r="M167" s="333"/>
    </row>
    <row r="168" spans="1:16" x14ac:dyDescent="0.2">
      <c r="A168" s="344" t="s">
        <v>551</v>
      </c>
      <c r="C168" s="168"/>
      <c r="D168" s="168"/>
      <c r="E168" s="168"/>
      <c r="I168" s="168"/>
      <c r="K168" s="168"/>
      <c r="M168" s="333"/>
    </row>
    <row r="169" spans="1:16" x14ac:dyDescent="0.2">
      <c r="A169" s="35" t="s">
        <v>222</v>
      </c>
      <c r="B169" s="36"/>
      <c r="C169" s="168"/>
      <c r="D169" s="168"/>
      <c r="E169" s="168"/>
      <c r="I169" s="168"/>
      <c r="K169" s="168"/>
      <c r="M169" s="333"/>
    </row>
    <row r="170" spans="1:16" x14ac:dyDescent="0.2">
      <c r="A170" s="35" t="s">
        <v>526</v>
      </c>
      <c r="B170" s="36"/>
      <c r="C170" s="168"/>
      <c r="D170" s="168"/>
      <c r="E170" s="168"/>
      <c r="I170" s="168"/>
      <c r="K170" s="168"/>
      <c r="M170" s="333"/>
    </row>
    <row r="171" spans="1:16" x14ac:dyDescent="0.2">
      <c r="A171" s="41" t="s">
        <v>527</v>
      </c>
      <c r="B171" s="39"/>
      <c r="C171" s="168"/>
      <c r="D171" s="168"/>
      <c r="E171" s="168"/>
      <c r="I171" s="168"/>
      <c r="K171" s="168"/>
      <c r="M171" s="333"/>
    </row>
    <row r="172" spans="1:16" x14ac:dyDescent="0.2">
      <c r="A172" s="90" t="s">
        <v>528</v>
      </c>
      <c r="B172" s="39"/>
      <c r="C172" s="168"/>
      <c r="D172" s="168"/>
      <c r="E172" s="168"/>
      <c r="I172" s="168"/>
      <c r="K172" s="168"/>
      <c r="M172" s="332"/>
      <c r="O172" s="54"/>
      <c r="P172" s="54"/>
    </row>
    <row r="173" spans="1:16" x14ac:dyDescent="0.2">
      <c r="A173" s="131" t="s">
        <v>529</v>
      </c>
      <c r="B173" s="39"/>
      <c r="C173" s="1732">
        <v>111</v>
      </c>
      <c r="D173" s="168"/>
      <c r="E173" s="1732">
        <v>107</v>
      </c>
      <c r="G173" s="59">
        <v>107</v>
      </c>
      <c r="I173" s="1732">
        <v>79</v>
      </c>
      <c r="K173" s="1732">
        <v>79</v>
      </c>
      <c r="M173" s="332"/>
      <c r="O173" s="54"/>
      <c r="P173" s="54"/>
    </row>
    <row r="174" spans="1:16" x14ac:dyDescent="0.2">
      <c r="A174" s="131" t="s">
        <v>530</v>
      </c>
      <c r="B174" s="39"/>
      <c r="C174" s="1732"/>
      <c r="D174" s="168"/>
      <c r="E174" s="1732"/>
      <c r="G174" s="59">
        <v>0</v>
      </c>
      <c r="I174" s="1732">
        <v>1</v>
      </c>
      <c r="K174" s="1732">
        <v>1</v>
      </c>
      <c r="M174" s="332"/>
      <c r="O174" s="54"/>
      <c r="P174" s="54"/>
    </row>
    <row r="175" spans="1:16" x14ac:dyDescent="0.2">
      <c r="A175" s="90" t="s">
        <v>531</v>
      </c>
      <c r="B175" s="39"/>
      <c r="C175" s="1732"/>
      <c r="D175" s="168"/>
      <c r="E175" s="1732"/>
      <c r="I175" s="1732"/>
      <c r="K175" s="1732"/>
      <c r="M175" s="332"/>
      <c r="O175" s="54"/>
      <c r="P175" s="54"/>
    </row>
    <row r="176" spans="1:16" x14ac:dyDescent="0.2">
      <c r="A176" s="131" t="s">
        <v>529</v>
      </c>
      <c r="B176" s="39"/>
      <c r="C176" s="1732"/>
      <c r="D176" s="168"/>
      <c r="E176" s="1732"/>
      <c r="G176" s="59">
        <v>0</v>
      </c>
      <c r="I176" s="1732">
        <v>12</v>
      </c>
      <c r="K176" s="1732">
        <v>12</v>
      </c>
      <c r="M176" s="332"/>
      <c r="O176" s="54"/>
      <c r="P176" s="54"/>
    </row>
    <row r="177" spans="1:16" x14ac:dyDescent="0.2">
      <c r="A177" s="131"/>
      <c r="B177" s="39"/>
      <c r="C177" s="1732"/>
      <c r="D177" s="168"/>
      <c r="E177" s="1732"/>
      <c r="I177" s="1732"/>
      <c r="K177" s="1732"/>
      <c r="M177" s="333"/>
    </row>
    <row r="178" spans="1:16" x14ac:dyDescent="0.2">
      <c r="A178" s="35" t="s">
        <v>517</v>
      </c>
      <c r="B178" s="36"/>
      <c r="C178" s="1732"/>
      <c r="D178" s="168"/>
      <c r="E178" s="1732"/>
      <c r="I178" s="1732"/>
      <c r="K178" s="1732"/>
      <c r="M178" s="333"/>
    </row>
    <row r="179" spans="1:16" x14ac:dyDescent="0.2">
      <c r="A179" s="334" t="s">
        <v>532</v>
      </c>
      <c r="B179" s="335"/>
      <c r="C179" s="1732">
        <v>612</v>
      </c>
      <c r="D179" s="168"/>
      <c r="E179" s="1732">
        <v>612</v>
      </c>
      <c r="G179" s="59">
        <v>612</v>
      </c>
      <c r="I179" s="1732">
        <v>612</v>
      </c>
      <c r="K179" s="1732">
        <v>612</v>
      </c>
      <c r="M179" s="345"/>
    </row>
    <row r="180" spans="1:16" x14ac:dyDescent="0.2">
      <c r="A180" s="41" t="s">
        <v>354</v>
      </c>
      <c r="B180" s="39"/>
      <c r="C180" s="1732">
        <v>521</v>
      </c>
      <c r="D180" s="168"/>
      <c r="E180" s="1732">
        <v>499</v>
      </c>
      <c r="G180" s="59">
        <v>505</v>
      </c>
      <c r="I180" s="1732">
        <v>485</v>
      </c>
      <c r="K180" s="1732">
        <v>485</v>
      </c>
      <c r="M180" s="332"/>
    </row>
    <row r="181" spans="1:16" x14ac:dyDescent="0.2">
      <c r="A181" s="41" t="s">
        <v>533</v>
      </c>
      <c r="B181" s="39"/>
      <c r="C181" s="337">
        <v>72136</v>
      </c>
      <c r="D181" s="168"/>
      <c r="E181" s="337">
        <v>73908</v>
      </c>
      <c r="G181" s="338">
        <v>73008</v>
      </c>
      <c r="I181" s="337">
        <v>76468</v>
      </c>
      <c r="K181" s="337">
        <v>77439</v>
      </c>
      <c r="M181" s="339"/>
    </row>
    <row r="182" spans="1:16" x14ac:dyDescent="0.2">
      <c r="A182" s="41" t="s">
        <v>534</v>
      </c>
      <c r="B182" s="39"/>
      <c r="C182" s="352">
        <v>197.09</v>
      </c>
      <c r="D182" s="168"/>
      <c r="E182" s="352">
        <v>202.49</v>
      </c>
      <c r="G182" s="353">
        <v>200.02</v>
      </c>
      <c r="I182" s="352">
        <v>209.5</v>
      </c>
      <c r="K182" s="352">
        <v>212.16</v>
      </c>
      <c r="M182" s="354"/>
    </row>
    <row r="183" spans="1:16" x14ac:dyDescent="0.2">
      <c r="A183" s="41" t="s">
        <v>552</v>
      </c>
      <c r="B183" s="39"/>
      <c r="C183" s="168">
        <v>478</v>
      </c>
      <c r="D183" s="168"/>
      <c r="E183" s="168">
        <v>484</v>
      </c>
      <c r="G183" s="59">
        <v>490</v>
      </c>
      <c r="I183" s="168">
        <v>490</v>
      </c>
      <c r="K183" s="168">
        <v>490</v>
      </c>
      <c r="M183" s="332"/>
    </row>
    <row r="184" spans="1:16" x14ac:dyDescent="0.2">
      <c r="A184" s="90"/>
      <c r="B184" s="39"/>
      <c r="C184" s="168"/>
      <c r="D184" s="168"/>
      <c r="E184" s="168"/>
      <c r="I184" s="168"/>
      <c r="K184" s="168"/>
      <c r="M184" s="333"/>
    </row>
    <row r="185" spans="1:16" x14ac:dyDescent="0.2">
      <c r="A185" s="344" t="s">
        <v>553</v>
      </c>
      <c r="C185" s="168"/>
      <c r="D185" s="168"/>
      <c r="E185" s="168"/>
      <c r="I185" s="168"/>
      <c r="K185" s="168"/>
      <c r="M185" s="333"/>
    </row>
    <row r="186" spans="1:16" x14ac:dyDescent="0.2">
      <c r="A186" s="35" t="s">
        <v>222</v>
      </c>
      <c r="B186" s="36"/>
      <c r="C186" s="168"/>
      <c r="D186" s="168"/>
      <c r="E186" s="168"/>
      <c r="I186" s="168"/>
      <c r="K186" s="168"/>
      <c r="M186" s="333"/>
    </row>
    <row r="187" spans="1:16" x14ac:dyDescent="0.2">
      <c r="A187" s="35" t="s">
        <v>526</v>
      </c>
      <c r="B187" s="36"/>
      <c r="C187" s="168"/>
      <c r="D187" s="168"/>
      <c r="E187" s="168"/>
      <c r="I187" s="168"/>
      <c r="K187" s="168"/>
      <c r="M187" s="333"/>
    </row>
    <row r="188" spans="1:16" x14ac:dyDescent="0.2">
      <c r="A188" s="41" t="s">
        <v>527</v>
      </c>
      <c r="B188" s="39"/>
      <c r="C188" s="168"/>
      <c r="D188" s="168"/>
      <c r="E188" s="168"/>
      <c r="I188" s="168"/>
      <c r="K188" s="168"/>
      <c r="M188" s="333"/>
    </row>
    <row r="189" spans="1:16" x14ac:dyDescent="0.2">
      <c r="A189" s="90" t="s">
        <v>528</v>
      </c>
      <c r="B189" s="39"/>
      <c r="C189" s="168"/>
      <c r="D189" s="168"/>
      <c r="E189" s="168"/>
      <c r="I189" s="168"/>
      <c r="K189" s="168"/>
      <c r="M189" s="332"/>
      <c r="O189" s="54"/>
      <c r="P189" s="54"/>
    </row>
    <row r="190" spans="1:16" x14ac:dyDescent="0.2">
      <c r="A190" s="131" t="s">
        <v>529</v>
      </c>
      <c r="B190" s="39"/>
      <c r="C190" s="1732">
        <v>319</v>
      </c>
      <c r="D190" s="168"/>
      <c r="E190" s="1732">
        <v>349</v>
      </c>
      <c r="G190" s="355">
        <v>394</v>
      </c>
      <c r="I190" s="1732">
        <v>353</v>
      </c>
      <c r="K190" s="1732">
        <v>353</v>
      </c>
      <c r="M190" s="356"/>
      <c r="O190" s="54"/>
      <c r="P190" s="54"/>
    </row>
    <row r="191" spans="1:16" x14ac:dyDescent="0.2">
      <c r="A191" s="131" t="s">
        <v>530</v>
      </c>
      <c r="B191" s="39"/>
      <c r="C191" s="1732">
        <v>72</v>
      </c>
      <c r="D191" s="168"/>
      <c r="E191" s="1732">
        <v>66</v>
      </c>
      <c r="G191" s="59">
        <v>66</v>
      </c>
      <c r="I191" s="1732">
        <v>55</v>
      </c>
      <c r="K191" s="1732">
        <v>55</v>
      </c>
      <c r="M191" s="332"/>
      <c r="O191" s="54"/>
      <c r="P191" s="54"/>
    </row>
    <row r="192" spans="1:16" x14ac:dyDescent="0.2">
      <c r="A192" s="90" t="s">
        <v>531</v>
      </c>
      <c r="B192" s="39"/>
      <c r="C192" s="1732"/>
      <c r="D192" s="168"/>
      <c r="E192" s="1732"/>
      <c r="I192" s="1732"/>
      <c r="K192" s="1732"/>
      <c r="M192" s="332"/>
      <c r="O192" s="54"/>
      <c r="P192" s="54"/>
    </row>
    <row r="193" spans="1:16" x14ac:dyDescent="0.2">
      <c r="A193" s="131" t="s">
        <v>529</v>
      </c>
      <c r="B193" s="39"/>
      <c r="C193" s="1732">
        <v>179</v>
      </c>
      <c r="D193" s="168"/>
      <c r="E193" s="1732">
        <v>143</v>
      </c>
      <c r="G193" s="355">
        <v>143</v>
      </c>
      <c r="I193" s="1732">
        <v>102</v>
      </c>
      <c r="K193" s="1732">
        <v>102</v>
      </c>
      <c r="M193" s="356"/>
      <c r="O193" s="54"/>
      <c r="P193" s="54"/>
    </row>
    <row r="194" spans="1:16" x14ac:dyDescent="0.2">
      <c r="A194" s="131" t="s">
        <v>530</v>
      </c>
      <c r="B194" s="39"/>
      <c r="C194" s="1732">
        <v>72</v>
      </c>
      <c r="D194" s="168"/>
      <c r="E194" s="1732">
        <v>31</v>
      </c>
      <c r="G194" s="59">
        <v>45</v>
      </c>
      <c r="I194" s="1732">
        <v>25</v>
      </c>
      <c r="K194" s="1732">
        <v>25</v>
      </c>
      <c r="M194" s="332"/>
      <c r="O194" s="54"/>
      <c r="P194" s="54"/>
    </row>
    <row r="195" spans="1:16" x14ac:dyDescent="0.2">
      <c r="A195" s="131"/>
      <c r="B195" s="39"/>
      <c r="C195" s="1732"/>
      <c r="D195" s="168"/>
      <c r="E195" s="1732"/>
      <c r="I195" s="1732"/>
      <c r="K195" s="1732"/>
      <c r="M195" s="333"/>
    </row>
    <row r="196" spans="1:16" x14ac:dyDescent="0.2">
      <c r="A196" s="35" t="s">
        <v>517</v>
      </c>
      <c r="B196" s="36"/>
      <c r="C196" s="1732"/>
      <c r="D196" s="168"/>
      <c r="E196" s="1732"/>
      <c r="I196" s="1732"/>
      <c r="K196" s="1732"/>
      <c r="M196" s="333"/>
    </row>
    <row r="197" spans="1:16" x14ac:dyDescent="0.2">
      <c r="A197" s="334" t="s">
        <v>532</v>
      </c>
      <c r="B197" s="335"/>
      <c r="C197" s="1732">
        <v>1884</v>
      </c>
      <c r="D197" s="168"/>
      <c r="E197" s="1732">
        <v>1892</v>
      </c>
      <c r="G197" s="358">
        <v>1884</v>
      </c>
      <c r="I197" s="1732">
        <v>1892</v>
      </c>
      <c r="K197" s="1732">
        <v>1892</v>
      </c>
      <c r="M197" s="359"/>
    </row>
    <row r="198" spans="1:16" x14ac:dyDescent="0.2">
      <c r="A198" s="41" t="s">
        <v>354</v>
      </c>
      <c r="B198" s="39"/>
      <c r="C198" s="1732">
        <v>1540</v>
      </c>
      <c r="D198" s="168"/>
      <c r="E198" s="1732">
        <v>1403</v>
      </c>
      <c r="G198" s="199">
        <v>1247</v>
      </c>
      <c r="I198" s="1732">
        <v>1267</v>
      </c>
      <c r="K198" s="1732">
        <v>1267</v>
      </c>
      <c r="M198" s="333"/>
    </row>
    <row r="199" spans="1:16" x14ac:dyDescent="0.2">
      <c r="A199" s="41" t="s">
        <v>533</v>
      </c>
      <c r="B199" s="39"/>
      <c r="C199" s="349">
        <v>31000</v>
      </c>
      <c r="D199" s="168"/>
      <c r="E199" s="349">
        <v>34835</v>
      </c>
      <c r="G199" s="350">
        <v>38341</v>
      </c>
      <c r="I199" s="349">
        <v>38241</v>
      </c>
      <c r="K199" s="349">
        <v>37548</v>
      </c>
      <c r="M199" s="351"/>
    </row>
    <row r="200" spans="1:16" x14ac:dyDescent="0.2">
      <c r="A200" s="41" t="s">
        <v>534</v>
      </c>
      <c r="B200" s="39"/>
      <c r="C200" s="352">
        <v>84.7</v>
      </c>
      <c r="D200" s="168"/>
      <c r="E200" s="352">
        <v>95.44</v>
      </c>
      <c r="G200" s="353">
        <v>105.04</v>
      </c>
      <c r="I200" s="352">
        <v>104.77</v>
      </c>
      <c r="K200" s="352">
        <v>102.87</v>
      </c>
      <c r="M200" s="354"/>
    </row>
    <row r="201" spans="1:16" x14ac:dyDescent="0.2">
      <c r="A201" s="41"/>
      <c r="B201" s="39"/>
      <c r="C201" s="168"/>
      <c r="D201" s="168"/>
      <c r="E201" s="168"/>
      <c r="I201" s="168"/>
      <c r="K201" s="168"/>
      <c r="M201" s="333"/>
    </row>
    <row r="202" spans="1:16" x14ac:dyDescent="0.2">
      <c r="A202" s="344" t="s">
        <v>554</v>
      </c>
      <c r="C202" s="168"/>
      <c r="D202" s="168"/>
      <c r="E202" s="168"/>
      <c r="I202" s="168"/>
      <c r="K202" s="168"/>
      <c r="M202" s="333"/>
    </row>
    <row r="203" spans="1:16" x14ac:dyDescent="0.2">
      <c r="A203" s="35" t="s">
        <v>222</v>
      </c>
      <c r="B203" s="36"/>
      <c r="C203" s="168"/>
      <c r="D203" s="168"/>
      <c r="E203" s="168"/>
      <c r="I203" s="168"/>
      <c r="K203" s="168"/>
      <c r="M203" s="333"/>
    </row>
    <row r="204" spans="1:16" x14ac:dyDescent="0.2">
      <c r="A204" s="35" t="s">
        <v>526</v>
      </c>
      <c r="B204" s="36"/>
      <c r="C204" s="168"/>
      <c r="D204" s="168"/>
      <c r="E204" s="168"/>
      <c r="I204" s="168"/>
      <c r="K204" s="168"/>
      <c r="M204" s="333"/>
    </row>
    <row r="205" spans="1:16" x14ac:dyDescent="0.2">
      <c r="A205" s="41" t="s">
        <v>527</v>
      </c>
      <c r="B205" s="39"/>
      <c r="C205" s="168"/>
      <c r="D205" s="168"/>
      <c r="E205" s="168"/>
      <c r="I205" s="168"/>
      <c r="K205" s="168"/>
      <c r="M205" s="333"/>
    </row>
    <row r="206" spans="1:16" x14ac:dyDescent="0.2">
      <c r="A206" s="90" t="s">
        <v>528</v>
      </c>
      <c r="B206" s="39"/>
      <c r="C206" s="168"/>
      <c r="D206" s="168"/>
      <c r="E206" s="168"/>
      <c r="I206" s="168"/>
      <c r="K206" s="168"/>
      <c r="M206" s="332"/>
      <c r="O206" s="54"/>
      <c r="P206" s="54"/>
    </row>
    <row r="207" spans="1:16" x14ac:dyDescent="0.2">
      <c r="A207" s="131" t="s">
        <v>529</v>
      </c>
      <c r="B207" s="39"/>
      <c r="C207" s="1732">
        <v>178</v>
      </c>
      <c r="D207" s="168"/>
      <c r="E207" s="1732">
        <v>105</v>
      </c>
      <c r="G207" s="358">
        <v>105</v>
      </c>
      <c r="I207" s="1732">
        <v>117</v>
      </c>
      <c r="K207" s="1732">
        <v>117</v>
      </c>
      <c r="M207" s="363"/>
      <c r="O207" s="54"/>
      <c r="P207" s="54"/>
    </row>
    <row r="208" spans="1:16" hidden="1" x14ac:dyDescent="0.2">
      <c r="A208" s="131" t="s">
        <v>530</v>
      </c>
      <c r="B208" s="39"/>
      <c r="C208" s="1732"/>
      <c r="D208" s="168"/>
      <c r="E208" s="1732"/>
      <c r="G208" s="358">
        <v>0</v>
      </c>
      <c r="I208" s="1732"/>
      <c r="K208" s="1732"/>
      <c r="M208" s="363"/>
      <c r="O208" s="54"/>
      <c r="P208" s="54"/>
    </row>
    <row r="209" spans="1:16" x14ac:dyDescent="0.2">
      <c r="A209" s="90" t="s">
        <v>531</v>
      </c>
      <c r="B209" s="39"/>
      <c r="C209" s="1732"/>
      <c r="D209" s="168"/>
      <c r="E209" s="1732"/>
      <c r="I209" s="1732"/>
      <c r="K209" s="1732"/>
      <c r="M209" s="332"/>
      <c r="O209" s="54"/>
      <c r="P209" s="54"/>
    </row>
    <row r="210" spans="1:16" x14ac:dyDescent="0.2">
      <c r="A210" s="131" t="s">
        <v>529</v>
      </c>
      <c r="B210" s="39"/>
      <c r="C210" s="1732">
        <v>67</v>
      </c>
      <c r="D210" s="168"/>
      <c r="E210" s="1732">
        <v>42</v>
      </c>
      <c r="G210" s="358">
        <v>45</v>
      </c>
      <c r="I210" s="1732">
        <v>87</v>
      </c>
      <c r="K210" s="1732">
        <v>87</v>
      </c>
      <c r="M210" s="363"/>
      <c r="O210" s="54"/>
      <c r="P210" s="54"/>
    </row>
    <row r="211" spans="1:16" hidden="1" x14ac:dyDescent="0.2">
      <c r="A211" s="131" t="s">
        <v>530</v>
      </c>
      <c r="B211" s="39"/>
      <c r="C211" s="1732"/>
      <c r="D211" s="168"/>
      <c r="E211" s="1732"/>
      <c r="G211" s="358">
        <v>0</v>
      </c>
      <c r="I211" s="1732"/>
      <c r="K211" s="1732"/>
      <c r="M211" s="363"/>
      <c r="O211" s="54"/>
      <c r="P211" s="54"/>
    </row>
    <row r="212" spans="1:16" x14ac:dyDescent="0.2">
      <c r="A212" s="131"/>
      <c r="B212" s="39"/>
      <c r="C212" s="1732"/>
      <c r="D212" s="168"/>
      <c r="E212" s="1732"/>
      <c r="I212" s="1732"/>
      <c r="K212" s="1732"/>
      <c r="M212" s="333"/>
    </row>
    <row r="213" spans="1:16" x14ac:dyDescent="0.2">
      <c r="A213" s="35" t="s">
        <v>517</v>
      </c>
      <c r="B213" s="36"/>
      <c r="C213" s="1732"/>
      <c r="D213" s="168"/>
      <c r="E213" s="1732"/>
      <c r="I213" s="1732"/>
      <c r="K213" s="1732"/>
      <c r="M213" s="333"/>
    </row>
    <row r="214" spans="1:16" x14ac:dyDescent="0.2">
      <c r="A214" s="334" t="s">
        <v>532</v>
      </c>
      <c r="B214" s="357"/>
      <c r="C214" s="1732">
        <v>775</v>
      </c>
      <c r="D214" s="168"/>
      <c r="E214" s="1732">
        <v>774</v>
      </c>
      <c r="G214" s="358">
        <v>774</v>
      </c>
      <c r="I214" s="1732">
        <v>774</v>
      </c>
      <c r="K214" s="1732">
        <v>774</v>
      </c>
      <c r="M214" s="359"/>
      <c r="N214" s="1426"/>
      <c r="O214" s="1426"/>
    </row>
    <row r="215" spans="1:16" x14ac:dyDescent="0.2">
      <c r="A215" s="41" t="s">
        <v>354</v>
      </c>
      <c r="B215" s="360"/>
      <c r="C215" s="1732">
        <v>670</v>
      </c>
      <c r="D215" s="168"/>
      <c r="E215" s="1732">
        <v>653</v>
      </c>
      <c r="G215" s="358">
        <v>629</v>
      </c>
      <c r="I215" s="1732">
        <v>660</v>
      </c>
      <c r="K215" s="1732">
        <v>660</v>
      </c>
      <c r="M215" s="363"/>
      <c r="O215" s="199"/>
    </row>
    <row r="216" spans="1:16" x14ac:dyDescent="0.2">
      <c r="A216" s="41" t="s">
        <v>533</v>
      </c>
      <c r="B216" s="39"/>
      <c r="C216" s="349">
        <v>66249</v>
      </c>
      <c r="D216" s="168"/>
      <c r="E216" s="349">
        <v>66461</v>
      </c>
      <c r="G216" s="350">
        <v>65898</v>
      </c>
      <c r="I216" s="349">
        <v>61212</v>
      </c>
      <c r="K216" s="349">
        <v>64702</v>
      </c>
      <c r="M216" s="351"/>
    </row>
    <row r="217" spans="1:16" x14ac:dyDescent="0.2">
      <c r="A217" s="41" t="s">
        <v>534</v>
      </c>
      <c r="B217" s="39"/>
      <c r="C217" s="352">
        <v>181.01</v>
      </c>
      <c r="D217" s="168"/>
      <c r="E217" s="352">
        <v>182.08</v>
      </c>
      <c r="G217" s="353">
        <v>180.54</v>
      </c>
      <c r="I217" s="352">
        <v>167.7</v>
      </c>
      <c r="K217" s="352">
        <v>177.26</v>
      </c>
      <c r="M217" s="354"/>
    </row>
    <row r="218" spans="1:16" x14ac:dyDescent="0.2">
      <c r="A218" s="41"/>
      <c r="B218" s="39"/>
      <c r="C218" s="168"/>
      <c r="D218" s="168"/>
      <c r="E218" s="168"/>
      <c r="I218" s="168"/>
      <c r="K218" s="168"/>
      <c r="M218" s="333"/>
    </row>
    <row r="219" spans="1:16" x14ac:dyDescent="0.2">
      <c r="A219" s="344" t="s">
        <v>555</v>
      </c>
      <c r="C219" s="168"/>
      <c r="D219" s="168"/>
      <c r="E219" s="168"/>
      <c r="I219" s="168"/>
      <c r="K219" s="168"/>
      <c r="M219" s="333"/>
    </row>
    <row r="220" spans="1:16" x14ac:dyDescent="0.2">
      <c r="A220" s="35" t="s">
        <v>222</v>
      </c>
      <c r="B220" s="36"/>
      <c r="C220" s="168"/>
      <c r="D220" s="168"/>
      <c r="E220" s="168"/>
      <c r="I220" s="168"/>
      <c r="K220" s="168"/>
      <c r="M220" s="333"/>
    </row>
    <row r="221" spans="1:16" x14ac:dyDescent="0.2">
      <c r="A221" s="35" t="s">
        <v>526</v>
      </c>
      <c r="B221" s="36"/>
      <c r="C221" s="168"/>
      <c r="D221" s="168"/>
      <c r="E221" s="168"/>
      <c r="I221" s="168"/>
      <c r="K221" s="168"/>
      <c r="M221" s="333"/>
    </row>
    <row r="222" spans="1:16" x14ac:dyDescent="0.2">
      <c r="A222" s="41" t="s">
        <v>527</v>
      </c>
      <c r="B222" s="39"/>
      <c r="C222" s="168"/>
      <c r="D222" s="168"/>
      <c r="E222" s="168"/>
      <c r="I222" s="168"/>
      <c r="K222" s="168"/>
      <c r="M222" s="333"/>
    </row>
    <row r="223" spans="1:16" x14ac:dyDescent="0.2">
      <c r="A223" s="90" t="s">
        <v>528</v>
      </c>
      <c r="B223" s="39"/>
      <c r="C223" s="168"/>
      <c r="D223" s="168"/>
      <c r="E223" s="168"/>
      <c r="I223" s="168"/>
      <c r="K223" s="168"/>
      <c r="M223" s="332"/>
      <c r="O223" s="54"/>
      <c r="P223" s="54"/>
    </row>
    <row r="224" spans="1:16" x14ac:dyDescent="0.2">
      <c r="A224" s="131" t="s">
        <v>529</v>
      </c>
      <c r="B224" s="39"/>
      <c r="C224" s="1732">
        <v>191</v>
      </c>
      <c r="D224" s="168"/>
      <c r="E224" s="1732">
        <v>215</v>
      </c>
      <c r="G224" s="358">
        <v>215</v>
      </c>
      <c r="I224" s="1732">
        <v>215</v>
      </c>
      <c r="K224" s="1732">
        <v>215</v>
      </c>
      <c r="M224" s="363"/>
      <c r="O224" s="54"/>
      <c r="P224" s="54"/>
    </row>
    <row r="225" spans="1:16" x14ac:dyDescent="0.2">
      <c r="A225" s="131" t="s">
        <v>530</v>
      </c>
      <c r="B225" s="39"/>
      <c r="C225" s="1732">
        <v>78</v>
      </c>
      <c r="D225" s="168"/>
      <c r="E225" s="1732">
        <v>48</v>
      </c>
      <c r="G225" s="358">
        <v>48</v>
      </c>
      <c r="I225" s="1732">
        <v>45</v>
      </c>
      <c r="K225" s="1732">
        <v>45</v>
      </c>
      <c r="M225" s="363"/>
      <c r="O225" s="54"/>
      <c r="P225" s="54"/>
    </row>
    <row r="226" spans="1:16" x14ac:dyDescent="0.2">
      <c r="A226" s="90" t="s">
        <v>531</v>
      </c>
      <c r="B226" s="39"/>
      <c r="C226" s="1732"/>
      <c r="D226" s="168"/>
      <c r="E226" s="1732"/>
      <c r="I226" s="1732"/>
      <c r="K226" s="1732"/>
      <c r="M226" s="332"/>
      <c r="O226" s="54"/>
      <c r="P226" s="54"/>
    </row>
    <row r="227" spans="1:16" x14ac:dyDescent="0.2">
      <c r="A227" s="131" t="s">
        <v>529</v>
      </c>
      <c r="B227" s="39"/>
      <c r="C227" s="1732">
        <v>40</v>
      </c>
      <c r="D227" s="168"/>
      <c r="E227" s="1732">
        <v>26</v>
      </c>
      <c r="G227" s="59">
        <v>26</v>
      </c>
      <c r="I227" s="1732">
        <v>13</v>
      </c>
      <c r="K227" s="1732">
        <v>13</v>
      </c>
      <c r="M227" s="332"/>
      <c r="O227" s="54"/>
      <c r="P227" s="54"/>
    </row>
    <row r="228" spans="1:16" x14ac:dyDescent="0.2">
      <c r="A228" s="131" t="s">
        <v>530</v>
      </c>
      <c r="B228" s="39"/>
      <c r="C228" s="1732"/>
      <c r="D228" s="168"/>
      <c r="E228" s="1732">
        <v>24</v>
      </c>
      <c r="G228" s="59">
        <v>0</v>
      </c>
      <c r="I228" s="1732">
        <v>11</v>
      </c>
      <c r="K228" s="1732">
        <v>11</v>
      </c>
      <c r="M228" s="332"/>
      <c r="O228" s="54"/>
      <c r="P228" s="54"/>
    </row>
    <row r="229" spans="1:16" x14ac:dyDescent="0.2">
      <c r="A229" s="131"/>
      <c r="B229" s="39"/>
      <c r="C229" s="1732"/>
      <c r="D229" s="168"/>
      <c r="E229" s="1732"/>
      <c r="I229" s="1732"/>
      <c r="K229" s="1732"/>
      <c r="M229" s="333"/>
    </row>
    <row r="230" spans="1:16" x14ac:dyDescent="0.2">
      <c r="A230" s="35" t="s">
        <v>517</v>
      </c>
      <c r="B230" s="36"/>
      <c r="C230" s="1732"/>
      <c r="D230" s="168"/>
      <c r="E230" s="1732"/>
      <c r="I230" s="1732"/>
      <c r="K230" s="1732"/>
      <c r="M230" s="333"/>
    </row>
    <row r="231" spans="1:16" x14ac:dyDescent="0.2">
      <c r="A231" s="334" t="s">
        <v>556</v>
      </c>
      <c r="B231" s="335"/>
      <c r="C231" s="1732">
        <v>1091</v>
      </c>
      <c r="D231" s="168"/>
      <c r="E231" s="1732">
        <v>995</v>
      </c>
      <c r="G231" s="358">
        <v>1091</v>
      </c>
      <c r="I231" s="1732">
        <v>995</v>
      </c>
      <c r="K231" s="1732">
        <v>995</v>
      </c>
      <c r="M231" s="359"/>
      <c r="N231" s="1426"/>
      <c r="O231" s="1426"/>
    </row>
    <row r="232" spans="1:16" x14ac:dyDescent="0.2">
      <c r="A232" s="41" t="s">
        <v>354</v>
      </c>
      <c r="B232" s="39"/>
      <c r="C232" s="1732">
        <v>822</v>
      </c>
      <c r="D232" s="168"/>
      <c r="E232" s="1732">
        <v>715</v>
      </c>
      <c r="G232" s="59">
        <v>633</v>
      </c>
      <c r="I232" s="1732">
        <v>670</v>
      </c>
      <c r="K232" s="1732">
        <v>670</v>
      </c>
      <c r="M232" s="332"/>
      <c r="O232" s="199"/>
    </row>
    <row r="233" spans="1:16" x14ac:dyDescent="0.2">
      <c r="A233" s="41" t="s">
        <v>533</v>
      </c>
      <c r="B233" s="39"/>
      <c r="C233" s="349">
        <v>43582</v>
      </c>
      <c r="D233" s="168"/>
      <c r="E233" s="349">
        <v>49411</v>
      </c>
      <c r="G233" s="350">
        <v>54030</v>
      </c>
      <c r="I233" s="349">
        <v>55434</v>
      </c>
      <c r="K233" s="349">
        <v>54182</v>
      </c>
      <c r="M233" s="351"/>
    </row>
    <row r="234" spans="1:16" x14ac:dyDescent="0.2">
      <c r="A234" s="41" t="s">
        <v>534</v>
      </c>
      <c r="B234" s="39"/>
      <c r="C234" s="340">
        <v>119.08</v>
      </c>
      <c r="D234" s="168"/>
      <c r="E234" s="340">
        <v>135.37</v>
      </c>
      <c r="G234" s="341">
        <v>148.03</v>
      </c>
      <c r="I234" s="340">
        <v>151.87</v>
      </c>
      <c r="K234" s="340">
        <v>148.44</v>
      </c>
      <c r="M234" s="342"/>
    </row>
    <row r="235" spans="1:16" x14ac:dyDescent="0.2">
      <c r="A235" s="41"/>
      <c r="B235" s="39"/>
      <c r="C235" s="168"/>
      <c r="D235" s="168"/>
      <c r="E235" s="168"/>
      <c r="I235" s="168"/>
      <c r="K235" s="168"/>
      <c r="M235" s="333"/>
    </row>
    <row r="236" spans="1:16" x14ac:dyDescent="0.2">
      <c r="A236" s="344" t="s">
        <v>557</v>
      </c>
      <c r="B236" s="39"/>
      <c r="C236" s="168"/>
      <c r="D236" s="168"/>
      <c r="E236" s="168"/>
      <c r="I236" s="168"/>
      <c r="K236" s="168"/>
      <c r="M236" s="333"/>
    </row>
    <row r="237" spans="1:16" x14ac:dyDescent="0.2">
      <c r="A237" s="35" t="s">
        <v>222</v>
      </c>
      <c r="B237" s="36"/>
      <c r="C237" s="168"/>
      <c r="D237" s="168"/>
      <c r="E237" s="168"/>
      <c r="I237" s="168"/>
      <c r="K237" s="168"/>
      <c r="M237" s="333"/>
    </row>
    <row r="238" spans="1:16" x14ac:dyDescent="0.2">
      <c r="A238" s="35" t="s">
        <v>558</v>
      </c>
      <c r="B238" s="36"/>
      <c r="C238" s="168"/>
      <c r="D238" s="168"/>
      <c r="E238" s="168"/>
      <c r="I238" s="168"/>
      <c r="K238" s="168"/>
      <c r="M238" s="333"/>
    </row>
    <row r="239" spans="1:16" x14ac:dyDescent="0.2">
      <c r="A239" s="41" t="s">
        <v>527</v>
      </c>
      <c r="B239" s="39"/>
      <c r="C239" s="168"/>
      <c r="D239" s="168"/>
      <c r="E239" s="168"/>
      <c r="I239" s="168"/>
      <c r="K239" s="168"/>
      <c r="M239" s="333"/>
    </row>
    <row r="240" spans="1:16" x14ac:dyDescent="0.2">
      <c r="A240" s="90" t="s">
        <v>528</v>
      </c>
      <c r="B240" s="39"/>
      <c r="C240" s="168"/>
      <c r="D240" s="168"/>
      <c r="E240" s="168"/>
      <c r="I240" s="168"/>
      <c r="K240" s="168"/>
      <c r="M240" s="332"/>
      <c r="O240" s="54"/>
      <c r="P240" s="54"/>
    </row>
    <row r="241" spans="1:16" x14ac:dyDescent="0.2">
      <c r="A241" s="131" t="s">
        <v>529</v>
      </c>
      <c r="B241" s="39"/>
      <c r="C241" s="1732">
        <f>C15+C31+C47+C63+C80+C95+C140+C157+C173+C190+C207+C224</f>
        <v>2649</v>
      </c>
      <c r="D241" s="364"/>
      <c r="E241" s="1732">
        <f>E15+E31+E47+E63+E80+E95+E140+E157+E173+E190+E207+E224</f>
        <v>2838</v>
      </c>
      <c r="G241" s="364">
        <f>G15+G31+G47+G63+G80+G95+G110+G140+G157+G173+G190+G207+G224</f>
        <v>2883</v>
      </c>
      <c r="I241" s="1732">
        <f>I15+I31+I47+I63+I80+I95+I110+I140+I157+I173+I190+I207+I224</f>
        <v>2699</v>
      </c>
      <c r="J241" s="364"/>
      <c r="K241" s="1732">
        <f t="shared" ref="K241" si="0">K15+K31+K47+K63+K80+K95+K110+K140+K157+K173+K190+K207+K224</f>
        <v>2699</v>
      </c>
      <c r="M241" s="363"/>
      <c r="O241" s="54"/>
      <c r="P241" s="54"/>
    </row>
    <row r="242" spans="1:16" x14ac:dyDescent="0.2">
      <c r="A242" s="131" t="s">
        <v>530</v>
      </c>
      <c r="B242" s="39"/>
      <c r="C242" s="1732">
        <f>C16+C32+C48+C64+C141+C158+C174+C191+C208+C225</f>
        <v>156</v>
      </c>
      <c r="D242" s="364"/>
      <c r="E242" s="1732">
        <f>E16+E32+E48+E64+E141+E158+E174+E191+E208+E225</f>
        <v>120</v>
      </c>
      <c r="F242" s="364"/>
      <c r="G242" s="364">
        <f>G16+G32+G48+G64+G111+G141+G158+G174+G191+G208+G225</f>
        <v>120</v>
      </c>
      <c r="I242" s="1732">
        <f t="shared" ref="I242" si="1">I16+I32+I48+I64+I111+I141+I158+I174+I191+I208+I225</f>
        <v>107</v>
      </c>
      <c r="J242" s="364"/>
      <c r="K242" s="1732">
        <f t="shared" ref="K242" si="2">K16+K32+K48+K64+K111+K141+K158+K174+K191+K208+K225</f>
        <v>107</v>
      </c>
      <c r="M242" s="363"/>
      <c r="O242" s="54"/>
      <c r="P242" s="54"/>
    </row>
    <row r="243" spans="1:16" x14ac:dyDescent="0.2">
      <c r="A243" s="90" t="s">
        <v>531</v>
      </c>
      <c r="B243" s="39"/>
      <c r="C243" s="1732"/>
      <c r="D243" s="168"/>
      <c r="E243" s="1732"/>
      <c r="I243" s="1732"/>
      <c r="K243" s="1732"/>
      <c r="M243" s="332"/>
      <c r="O243" s="54"/>
      <c r="P243" s="54"/>
    </row>
    <row r="244" spans="1:16" x14ac:dyDescent="0.2">
      <c r="A244" s="131" t="s">
        <v>529</v>
      </c>
      <c r="B244" s="39"/>
      <c r="C244" s="1732">
        <f>C18+C34+C50+C66+C82+C97+C143+C160+C176+C193+C210+C227</f>
        <v>873</v>
      </c>
      <c r="D244" s="364"/>
      <c r="E244" s="1732">
        <f>E18+E34+E50+E66+E82+E97+E143+E160+E176+E193+E210+E227</f>
        <v>866</v>
      </c>
      <c r="F244" s="364"/>
      <c r="G244" s="364">
        <f>G18+G34+G50+G66+G82+G97+G113+G143+G160+G176+G193+G210+G227</f>
        <v>869</v>
      </c>
      <c r="I244" s="1732">
        <f>I18+I34+I50+I66+I82+I97+I113+I143+I160+I176+I193+I210+I227</f>
        <v>838</v>
      </c>
      <c r="J244" s="364"/>
      <c r="K244" s="1732">
        <f t="shared" ref="K244" si="3">K18+K34+K50+K66+K82+K97+K113+K143+K160+K176+K193+K210+K227</f>
        <v>838</v>
      </c>
      <c r="M244" s="363"/>
      <c r="O244" s="54"/>
      <c r="P244" s="54"/>
    </row>
    <row r="245" spans="1:16" x14ac:dyDescent="0.2">
      <c r="A245" s="131" t="s">
        <v>530</v>
      </c>
      <c r="B245" s="39"/>
      <c r="C245" s="1732">
        <f>C67+C144+C194+C211+C228</f>
        <v>72</v>
      </c>
      <c r="D245" s="364"/>
      <c r="E245" s="1732">
        <f>E67+E144+E194+E211+E228</f>
        <v>56</v>
      </c>
      <c r="F245" s="364"/>
      <c r="G245" s="364">
        <f>G67+G144+G194+G211+G228</f>
        <v>45</v>
      </c>
      <c r="I245" s="1732">
        <f t="shared" ref="I245" si="4">I67+I144+I194+I211+I228</f>
        <v>37</v>
      </c>
      <c r="J245" s="364"/>
      <c r="K245" s="1732">
        <f t="shared" ref="K245" si="5">K67+K144+K194+K211+K228</f>
        <v>37</v>
      </c>
      <c r="M245" s="363"/>
      <c r="O245" s="54"/>
      <c r="P245" s="54"/>
    </row>
    <row r="246" spans="1:16" x14ac:dyDescent="0.2">
      <c r="A246" s="131"/>
      <c r="B246" s="39"/>
      <c r="C246" s="1732"/>
      <c r="D246" s="168"/>
      <c r="E246" s="1732"/>
      <c r="I246" s="1732"/>
      <c r="K246" s="1732"/>
      <c r="M246" s="333"/>
      <c r="O246" s="199"/>
    </row>
    <row r="247" spans="1:16" x14ac:dyDescent="0.2">
      <c r="A247" s="35" t="s">
        <v>517</v>
      </c>
      <c r="B247" s="36"/>
      <c r="C247" s="1732"/>
      <c r="D247" s="168"/>
      <c r="E247" s="1732"/>
      <c r="I247" s="1732"/>
      <c r="K247" s="1732"/>
      <c r="M247" s="333"/>
      <c r="O247" s="199"/>
    </row>
    <row r="248" spans="1:16" x14ac:dyDescent="0.2">
      <c r="A248" s="41" t="s">
        <v>532</v>
      </c>
      <c r="B248" s="39"/>
      <c r="C248" s="1732">
        <f>C21+C37+C53+C70+C85+C100+C147+C163+C179+C197+C214+C231</f>
        <v>19916</v>
      </c>
      <c r="D248" s="365"/>
      <c r="E248" s="1732">
        <f>E21+E37+E53+E70+E85+E100+E116+E147+E163+E179+E197+E214+E231</f>
        <v>20535</v>
      </c>
      <c r="G248" s="364">
        <f>G21+G37+G53+G70+G85+G100+G116+G147+G163+G179+G197+G214+G231</f>
        <v>20461</v>
      </c>
      <c r="I248" s="1732">
        <f>I21+I37+I53+I70+I85+I100+I116+I147+I163+I179+I197+I214+I231</f>
        <v>20185</v>
      </c>
      <c r="K248" s="1732">
        <f>K231+K214+K197+K179+K163+K147+K116+K100+K85+K70+K53+K37+K21</f>
        <v>20185</v>
      </c>
      <c r="M248" s="363"/>
      <c r="O248" s="199"/>
    </row>
    <row r="249" spans="1:16" x14ac:dyDescent="0.2">
      <c r="A249" s="41" t="s">
        <v>354</v>
      </c>
      <c r="B249" s="39"/>
      <c r="C249" s="1732">
        <f>C22+C38+C54+C71+C86+C101+C148+C164+C180+C198+C215+C232</f>
        <v>17574</v>
      </c>
      <c r="D249" s="365"/>
      <c r="E249" s="1732">
        <f>E22+E38+E54+E71+E86+E101+E117+E148+E164+E180+E198+E215+E232</f>
        <v>16931</v>
      </c>
      <c r="G249" s="365">
        <f>G22+G38+G54+G71+G86+G101+G117+G148+G164+G180+G198+G215+G232</f>
        <v>16994</v>
      </c>
      <c r="I249" s="1732">
        <f>I22+I38+I54+I71+I86+I101+I117+I148+I164+I180+I198+I215+I232</f>
        <v>16666</v>
      </c>
      <c r="K249" s="1732">
        <f>K232+K215+K198+K180+K164+K148+K117+K101+K86+K71+K54+K38+K22</f>
        <v>16666</v>
      </c>
      <c r="M249" s="333"/>
      <c r="O249" s="199"/>
    </row>
    <row r="250" spans="1:16" x14ac:dyDescent="0.2">
      <c r="A250" s="41" t="s">
        <v>559</v>
      </c>
      <c r="B250" s="39"/>
      <c r="C250" s="1732" t="s">
        <v>560</v>
      </c>
      <c r="D250" s="366"/>
      <c r="E250" s="1732" t="s">
        <v>561</v>
      </c>
      <c r="G250" s="285" t="s">
        <v>561</v>
      </c>
      <c r="I250" s="1732" t="s">
        <v>562</v>
      </c>
      <c r="K250" s="1732" t="s">
        <v>562</v>
      </c>
      <c r="M250" s="332"/>
      <c r="O250" s="367"/>
    </row>
    <row r="251" spans="1:16" x14ac:dyDescent="0.2">
      <c r="A251" s="41" t="s">
        <v>563</v>
      </c>
      <c r="B251" s="39"/>
      <c r="C251" s="1732">
        <f>C183</f>
        <v>478</v>
      </c>
      <c r="D251" s="368"/>
      <c r="E251" s="1732">
        <f>E183</f>
        <v>484</v>
      </c>
      <c r="G251" s="59">
        <v>490</v>
      </c>
      <c r="I251" s="1732">
        <v>490</v>
      </c>
      <c r="K251" s="1732">
        <f>K183</f>
        <v>490</v>
      </c>
      <c r="M251" s="332"/>
      <c r="O251" s="199"/>
    </row>
    <row r="252" spans="1:16" x14ac:dyDescent="0.2">
      <c r="A252" s="41"/>
      <c r="B252" s="39"/>
      <c r="C252" s="168"/>
      <c r="D252" s="168"/>
      <c r="E252" s="168"/>
      <c r="I252" s="168"/>
      <c r="K252" s="168"/>
      <c r="M252" s="333"/>
      <c r="O252" s="199"/>
    </row>
    <row r="253" spans="1:16" x14ac:dyDescent="0.2">
      <c r="A253" s="35" t="s">
        <v>194</v>
      </c>
      <c r="B253" s="36"/>
      <c r="C253" s="168"/>
      <c r="D253" s="168"/>
      <c r="E253" s="168"/>
      <c r="I253" s="168"/>
      <c r="K253" s="168"/>
      <c r="M253" s="333"/>
      <c r="O253" s="199"/>
    </row>
    <row r="254" spans="1:16" x14ac:dyDescent="0.2">
      <c r="A254" s="35" t="s">
        <v>195</v>
      </c>
      <c r="B254" s="36"/>
      <c r="C254" s="168"/>
      <c r="D254" s="168"/>
      <c r="E254" s="168"/>
      <c r="I254" s="168"/>
      <c r="K254" s="168"/>
      <c r="M254" s="333"/>
      <c r="O254" s="199"/>
    </row>
    <row r="255" spans="1:16" x14ac:dyDescent="0.2">
      <c r="A255" s="38" t="s">
        <v>196</v>
      </c>
      <c r="B255" s="39"/>
      <c r="C255" s="168"/>
      <c r="D255" s="168"/>
      <c r="E255" s="168"/>
      <c r="I255" s="168"/>
      <c r="K255" s="168"/>
      <c r="M255" s="356"/>
      <c r="O255" s="199"/>
    </row>
    <row r="256" spans="1:16" ht="15" x14ac:dyDescent="0.25">
      <c r="A256" s="41" t="s">
        <v>197</v>
      </c>
      <c r="B256" s="39"/>
      <c r="C256" s="1732">
        <v>6736</v>
      </c>
      <c r="D256" s="168"/>
      <c r="E256" s="1732">
        <v>6874</v>
      </c>
      <c r="G256" s="369">
        <v>6809</v>
      </c>
      <c r="I256" s="1732">
        <v>6944</v>
      </c>
      <c r="K256" s="1732">
        <v>6944</v>
      </c>
      <c r="M256" s="356"/>
      <c r="O256" s="199"/>
    </row>
    <row r="257" spans="1:15" ht="15" x14ac:dyDescent="0.25">
      <c r="A257" s="41" t="s">
        <v>564</v>
      </c>
      <c r="B257" s="39"/>
      <c r="C257" s="1732">
        <v>3</v>
      </c>
      <c r="D257" s="168"/>
      <c r="E257" s="1732">
        <v>3</v>
      </c>
      <c r="G257" s="369">
        <v>3</v>
      </c>
      <c r="I257" s="1732">
        <v>3</v>
      </c>
      <c r="K257" s="1732">
        <v>3</v>
      </c>
      <c r="M257" s="356"/>
      <c r="O257" s="199"/>
    </row>
    <row r="258" spans="1:15" ht="15" x14ac:dyDescent="0.25">
      <c r="A258" s="41" t="s">
        <v>262</v>
      </c>
      <c r="B258" s="39"/>
      <c r="C258" s="1732">
        <v>51</v>
      </c>
      <c r="D258" s="168"/>
      <c r="E258" s="1732">
        <v>48</v>
      </c>
      <c r="G258" s="369">
        <v>43</v>
      </c>
      <c r="H258" s="370"/>
      <c r="I258" s="1732">
        <v>25</v>
      </c>
      <c r="J258" s="370"/>
      <c r="K258" s="1732">
        <v>28</v>
      </c>
      <c r="M258" s="356"/>
    </row>
    <row r="259" spans="1:15" ht="15" x14ac:dyDescent="0.25">
      <c r="A259" s="41" t="s">
        <v>198</v>
      </c>
      <c r="B259" s="39"/>
      <c r="C259" s="1732">
        <v>6790</v>
      </c>
      <c r="D259" s="168"/>
      <c r="E259" s="1732">
        <f>SUM(E256:E258)</f>
        <v>6925</v>
      </c>
      <c r="G259" s="369">
        <f>SUM(G256:G258)</f>
        <v>6855</v>
      </c>
      <c r="I259" s="1732">
        <f>SUM(I256:I258)</f>
        <v>6972</v>
      </c>
      <c r="K259" s="1732">
        <f>SUM(K256:K258)</f>
        <v>6975</v>
      </c>
      <c r="M259" s="356"/>
      <c r="O259" s="199"/>
    </row>
    <row r="260" spans="1:15" x14ac:dyDescent="0.2">
      <c r="A260" s="38" t="s">
        <v>199</v>
      </c>
      <c r="B260" s="39"/>
      <c r="C260" s="1732"/>
      <c r="D260" s="168"/>
      <c r="E260" s="1732"/>
      <c r="I260" s="1732"/>
      <c r="K260" s="1732"/>
      <c r="M260" s="333"/>
      <c r="O260" s="199"/>
    </row>
    <row r="261" spans="1:15" ht="15" x14ac:dyDescent="0.25">
      <c r="A261" s="41" t="s">
        <v>518</v>
      </c>
      <c r="B261" s="39"/>
      <c r="C261" s="1732">
        <v>5605</v>
      </c>
      <c r="D261" s="168"/>
      <c r="E261" s="1732">
        <v>5715</v>
      </c>
      <c r="G261" s="369">
        <v>5642</v>
      </c>
      <c r="I261" s="1732">
        <v>5731</v>
      </c>
      <c r="K261" s="1732">
        <v>5731</v>
      </c>
      <c r="M261" s="356"/>
      <c r="O261" s="199"/>
    </row>
    <row r="262" spans="1:15" ht="15" x14ac:dyDescent="0.25">
      <c r="A262" s="41" t="s">
        <v>565</v>
      </c>
      <c r="B262" s="39"/>
      <c r="C262" s="1732">
        <v>721</v>
      </c>
      <c r="D262" s="168"/>
      <c r="E262" s="1732">
        <v>737</v>
      </c>
      <c r="G262" s="369">
        <v>736</v>
      </c>
      <c r="I262" s="1732">
        <v>742</v>
      </c>
      <c r="K262" s="1732">
        <v>745</v>
      </c>
      <c r="M262" s="356"/>
      <c r="O262" s="199"/>
    </row>
    <row r="263" spans="1:15" ht="15" x14ac:dyDescent="0.25">
      <c r="A263" s="41" t="s">
        <v>335</v>
      </c>
      <c r="B263" s="39"/>
      <c r="C263" s="1732">
        <v>464</v>
      </c>
      <c r="D263" s="168"/>
      <c r="E263" s="1732">
        <v>473</v>
      </c>
      <c r="G263" s="369">
        <v>477</v>
      </c>
      <c r="I263" s="1732">
        <v>499</v>
      </c>
      <c r="K263" s="1732">
        <v>499</v>
      </c>
      <c r="M263" s="356"/>
      <c r="O263" s="199"/>
    </row>
    <row r="264" spans="1:15" ht="15" x14ac:dyDescent="0.25">
      <c r="A264" s="41" t="s">
        <v>198</v>
      </c>
      <c r="B264" s="39"/>
      <c r="C264" s="1732">
        <v>6790</v>
      </c>
      <c r="D264" s="168"/>
      <c r="E264" s="1732">
        <f>SUM(E261:E263)</f>
        <v>6925</v>
      </c>
      <c r="G264" s="369">
        <f>SUM(G261:G263)</f>
        <v>6855</v>
      </c>
      <c r="I264" s="1732">
        <f>SUM(I261:I263)</f>
        <v>6972</v>
      </c>
      <c r="K264" s="1732">
        <f>SUM(K261:K263)</f>
        <v>6975</v>
      </c>
      <c r="M264" s="356"/>
      <c r="O264" s="199"/>
    </row>
    <row r="265" spans="1:15" x14ac:dyDescent="0.2">
      <c r="A265" s="90"/>
      <c r="B265" s="39"/>
      <c r="C265" s="59"/>
      <c r="D265" s="59"/>
      <c r="M265" s="333"/>
      <c r="O265" s="199"/>
    </row>
    <row r="266" spans="1:15" x14ac:dyDescent="0.2">
      <c r="A266" s="35"/>
      <c r="B266" s="36"/>
      <c r="C266" s="59"/>
      <c r="D266" s="60"/>
      <c r="M266" s="199"/>
    </row>
    <row r="267" spans="1:15" x14ac:dyDescent="0.2">
      <c r="A267" s="49" t="s">
        <v>200</v>
      </c>
      <c r="B267" s="39"/>
      <c r="C267" s="333"/>
      <c r="D267" s="333"/>
      <c r="E267" s="333"/>
      <c r="G267" s="333"/>
      <c r="I267" s="333"/>
      <c r="K267" s="333"/>
      <c r="M267" s="333"/>
    </row>
    <row r="268" spans="1:15" ht="45.75" customHeight="1" x14ac:dyDescent="0.2">
      <c r="A268" s="1751" t="s">
        <v>566</v>
      </c>
      <c r="B268" s="1751"/>
      <c r="C268" s="1751"/>
      <c r="D268" s="1751"/>
      <c r="E268" s="1751"/>
      <c r="F268" s="1751"/>
      <c r="G268" s="1751"/>
      <c r="H268" s="1751"/>
      <c r="I268" s="1751"/>
      <c r="J268" s="1751"/>
      <c r="K268" s="1751"/>
      <c r="L268" s="1751"/>
      <c r="M268" s="1751"/>
      <c r="N268" s="371"/>
    </row>
    <row r="269" spans="1:15" ht="14.25" customHeight="1" x14ac:dyDescent="0.2">
      <c r="A269" s="372" t="s">
        <v>567</v>
      </c>
      <c r="B269" s="29"/>
      <c r="C269" s="29"/>
      <c r="D269" s="29"/>
      <c r="E269" s="29"/>
      <c r="F269" s="29"/>
      <c r="G269" s="29"/>
      <c r="H269" s="29"/>
      <c r="I269" s="29"/>
      <c r="J269" s="29"/>
      <c r="K269" s="29"/>
      <c r="L269" s="29"/>
      <c r="M269" s="29"/>
      <c r="N269" s="29"/>
    </row>
    <row r="270" spans="1:15" ht="29.25" customHeight="1" x14ac:dyDescent="0.2">
      <c r="A270" s="1751" t="s">
        <v>568</v>
      </c>
      <c r="B270" s="1751"/>
      <c r="C270" s="1751"/>
      <c r="D270" s="1751"/>
      <c r="E270" s="1751"/>
      <c r="F270" s="1751"/>
      <c r="G270" s="1751"/>
      <c r="H270" s="1751"/>
      <c r="I270" s="1751"/>
      <c r="J270" s="1751"/>
      <c r="K270" s="1751"/>
      <c r="L270" s="1751"/>
      <c r="M270" s="1751"/>
      <c r="N270" s="29"/>
    </row>
    <row r="271" spans="1:15" ht="24.75" customHeight="1" x14ac:dyDescent="0.2">
      <c r="A271" s="1752" t="s">
        <v>569</v>
      </c>
      <c r="B271" s="1752"/>
      <c r="C271" s="1752"/>
      <c r="D271" s="1752"/>
      <c r="E271" s="1752"/>
      <c r="F271" s="1752"/>
      <c r="G271" s="1752"/>
      <c r="H271" s="1752"/>
      <c r="I271" s="1752"/>
      <c r="J271" s="1752"/>
      <c r="K271" s="1752"/>
      <c r="L271" s="1752"/>
      <c r="M271" s="993"/>
      <c r="N271" s="992"/>
    </row>
    <row r="272" spans="1:15" ht="42" customHeight="1" x14ac:dyDescent="0.2">
      <c r="A272" s="1751" t="s">
        <v>570</v>
      </c>
      <c r="B272" s="1751"/>
      <c r="C272" s="1751"/>
      <c r="D272" s="1751"/>
      <c r="E272" s="1751"/>
      <c r="F272" s="1751"/>
      <c r="G272" s="1751"/>
      <c r="H272" s="1751"/>
      <c r="I272" s="1751"/>
      <c r="J272" s="1751"/>
      <c r="K272" s="1751"/>
      <c r="L272" s="1751"/>
      <c r="M272" s="1751"/>
    </row>
    <row r="273" spans="1:13" ht="25.5" customHeight="1" x14ac:dyDescent="0.2">
      <c r="A273" s="1751"/>
      <c r="B273" s="1751"/>
      <c r="C273" s="1751"/>
      <c r="D273" s="1751"/>
      <c r="E273" s="1751"/>
      <c r="F273" s="1751"/>
      <c r="G273" s="1751"/>
      <c r="H273" s="1751"/>
      <c r="I273" s="1751"/>
      <c r="J273" s="1751"/>
      <c r="K273" s="1751"/>
      <c r="L273" s="1751"/>
      <c r="M273" s="1751"/>
    </row>
    <row r="274" spans="1:13" x14ac:dyDescent="0.2">
      <c r="A274" s="282"/>
    </row>
  </sheetData>
  <mergeCells count="6">
    <mergeCell ref="A273:M273"/>
    <mergeCell ref="K2:K3"/>
    <mergeCell ref="A268:M268"/>
    <mergeCell ref="A270:M270"/>
    <mergeCell ref="A271:L271"/>
    <mergeCell ref="A272:M272"/>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1">
    <pageSetUpPr fitToPage="1"/>
  </sheetPr>
  <dimension ref="A1:Q116"/>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9.5703125" style="25" customWidth="1"/>
    <col min="2" max="2" width="8.42578125" style="26" customWidth="1"/>
    <col min="3" max="3" width="13.7109375" style="61" customWidth="1"/>
    <col min="4" max="4" width="3" style="61" customWidth="1"/>
    <col min="5" max="5" width="13.7109375" style="59" customWidth="1"/>
    <col min="6" max="6" width="2.71093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6.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514</v>
      </c>
      <c r="C3" s="10" t="s">
        <v>515</v>
      </c>
      <c r="D3" s="6"/>
      <c r="E3" s="11"/>
      <c r="F3" s="9"/>
      <c r="G3" s="11"/>
      <c r="H3" s="6"/>
      <c r="I3" s="11"/>
      <c r="J3" s="6"/>
      <c r="K3" s="1734"/>
      <c r="L3" s="6"/>
      <c r="M3" s="11"/>
      <c r="N3" s="6"/>
    </row>
    <row r="4" spans="1:16" s="4" customFormat="1" ht="15.75" x14ac:dyDescent="0.25">
      <c r="A4" s="1" t="s">
        <v>180</v>
      </c>
      <c r="B4" s="10" t="s">
        <v>571</v>
      </c>
      <c r="C4" s="10" t="s">
        <v>9</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73"/>
      <c r="E10" s="73"/>
      <c r="I10" s="73"/>
      <c r="K10" s="73"/>
    </row>
    <row r="11" spans="1:16" s="37" customFormat="1" x14ac:dyDescent="0.2">
      <c r="A11" s="35" t="s">
        <v>9</v>
      </c>
      <c r="B11" s="36"/>
      <c r="C11" s="73"/>
      <c r="E11" s="73"/>
      <c r="I11" s="73"/>
      <c r="K11" s="73"/>
    </row>
    <row r="12" spans="1:16" s="40" customFormat="1" x14ac:dyDescent="0.2">
      <c r="A12" s="144" t="s">
        <v>572</v>
      </c>
      <c r="B12" s="145"/>
      <c r="C12" s="1724">
        <v>15639</v>
      </c>
      <c r="D12" s="118"/>
      <c r="E12" s="1724">
        <v>15617</v>
      </c>
      <c r="F12" s="118"/>
      <c r="G12" s="120">
        <v>15717</v>
      </c>
      <c r="I12" s="1724">
        <v>15811</v>
      </c>
      <c r="K12" s="1724">
        <v>15827</v>
      </c>
      <c r="M12" s="75"/>
      <c r="N12" s="148"/>
      <c r="O12" s="142"/>
      <c r="P12" s="148"/>
    </row>
    <row r="13" spans="1:16" s="40" customFormat="1" x14ac:dyDescent="0.2">
      <c r="A13" s="150" t="s">
        <v>573</v>
      </c>
      <c r="B13" s="145"/>
      <c r="C13" s="1724">
        <v>5895</v>
      </c>
      <c r="D13" s="118"/>
      <c r="E13" s="1724">
        <v>5992</v>
      </c>
      <c r="F13" s="118"/>
      <c r="G13" s="120">
        <v>6100</v>
      </c>
      <c r="I13" s="1724">
        <v>6000</v>
      </c>
      <c r="K13" s="1724">
        <v>6083</v>
      </c>
      <c r="M13" s="75"/>
      <c r="N13" s="148"/>
      <c r="O13" s="142"/>
      <c r="P13" s="148"/>
    </row>
    <row r="14" spans="1:16" s="40" customFormat="1" x14ac:dyDescent="0.2">
      <c r="A14" s="150" t="s">
        <v>574</v>
      </c>
      <c r="B14" s="145"/>
      <c r="C14" s="1724">
        <v>5917</v>
      </c>
      <c r="D14" s="118"/>
      <c r="E14" s="1724">
        <v>5798</v>
      </c>
      <c r="F14" s="118"/>
      <c r="G14" s="120">
        <v>6000</v>
      </c>
      <c r="I14" s="1724">
        <v>5984</v>
      </c>
      <c r="K14" s="1724">
        <v>6000</v>
      </c>
      <c r="M14" s="75"/>
      <c r="N14" s="148"/>
      <c r="O14" s="142"/>
      <c r="P14" s="148"/>
    </row>
    <row r="15" spans="1:16" s="40" customFormat="1" x14ac:dyDescent="0.2">
      <c r="A15" s="144" t="s">
        <v>575</v>
      </c>
      <c r="B15" s="145"/>
      <c r="C15" s="1725"/>
      <c r="E15" s="1725"/>
      <c r="I15" s="1725"/>
      <c r="K15" s="1725"/>
      <c r="M15" s="75"/>
      <c r="N15" s="148"/>
      <c r="O15" s="142"/>
      <c r="P15" s="148"/>
    </row>
    <row r="16" spans="1:16" s="40" customFormat="1" x14ac:dyDescent="0.2">
      <c r="A16" s="150" t="s">
        <v>576</v>
      </c>
      <c r="B16" s="145"/>
      <c r="C16" s="1724">
        <v>7592</v>
      </c>
      <c r="D16" s="120"/>
      <c r="E16" s="1724">
        <v>7209</v>
      </c>
      <c r="F16" s="120"/>
      <c r="G16" s="120">
        <v>7739</v>
      </c>
      <c r="I16" s="1724">
        <v>7285</v>
      </c>
      <c r="K16" s="1724">
        <v>7285</v>
      </c>
      <c r="M16" s="75"/>
      <c r="N16" s="148"/>
      <c r="O16" s="142"/>
      <c r="P16" s="148"/>
    </row>
    <row r="17" spans="1:15" s="40" customFormat="1" x14ac:dyDescent="0.2">
      <c r="A17" s="150" t="s">
        <v>577</v>
      </c>
      <c r="B17" s="145"/>
      <c r="C17" s="1724">
        <v>8047</v>
      </c>
      <c r="D17" s="120"/>
      <c r="E17" s="1724">
        <v>8408</v>
      </c>
      <c r="F17" s="120"/>
      <c r="G17" s="120">
        <v>8100</v>
      </c>
      <c r="I17" s="1724">
        <v>8526</v>
      </c>
      <c r="K17" s="1724">
        <v>8542</v>
      </c>
      <c r="M17" s="75"/>
      <c r="N17" s="148"/>
      <c r="O17" s="142"/>
    </row>
    <row r="18" spans="1:15" s="40" customFormat="1" x14ac:dyDescent="0.2">
      <c r="A18" s="156" t="s">
        <v>578</v>
      </c>
      <c r="B18" s="145"/>
      <c r="C18" s="1724">
        <v>231</v>
      </c>
      <c r="D18" s="120"/>
      <c r="E18" s="1724">
        <v>317</v>
      </c>
      <c r="F18" s="120"/>
      <c r="G18" s="120">
        <v>240</v>
      </c>
      <c r="I18" s="1724">
        <v>317</v>
      </c>
      <c r="K18" s="1724">
        <v>317</v>
      </c>
      <c r="M18" s="75"/>
      <c r="N18" s="148"/>
      <c r="O18" s="142"/>
    </row>
    <row r="19" spans="1:15" s="40" customFormat="1" x14ac:dyDescent="0.2">
      <c r="A19" s="156" t="s">
        <v>579</v>
      </c>
      <c r="B19" s="145"/>
      <c r="C19" s="1724">
        <v>496</v>
      </c>
      <c r="D19" s="120"/>
      <c r="E19" s="1724">
        <v>490</v>
      </c>
      <c r="F19" s="120"/>
      <c r="G19" s="120">
        <v>515</v>
      </c>
      <c r="I19" s="1724">
        <v>495</v>
      </c>
      <c r="K19" s="1724">
        <v>495</v>
      </c>
      <c r="M19" s="75"/>
      <c r="N19" s="148"/>
      <c r="O19" s="142"/>
    </row>
    <row r="20" spans="1:15" s="40" customFormat="1" x14ac:dyDescent="0.2">
      <c r="A20" s="156" t="s">
        <v>580</v>
      </c>
      <c r="B20" s="145"/>
      <c r="C20" s="1724">
        <v>77</v>
      </c>
      <c r="D20" s="120"/>
      <c r="E20" s="1724">
        <v>75</v>
      </c>
      <c r="F20" s="120"/>
      <c r="G20" s="120">
        <v>80</v>
      </c>
      <c r="I20" s="1724">
        <v>130</v>
      </c>
      <c r="K20" s="1724">
        <v>130</v>
      </c>
      <c r="M20" s="75"/>
      <c r="N20" s="148"/>
      <c r="O20" s="142"/>
    </row>
    <row r="21" spans="1:15" s="40" customFormat="1" x14ac:dyDescent="0.2">
      <c r="A21" s="156" t="s">
        <v>581</v>
      </c>
      <c r="B21" s="145"/>
      <c r="C21" s="1724">
        <v>731</v>
      </c>
      <c r="D21" s="120"/>
      <c r="E21" s="1724">
        <v>850</v>
      </c>
      <c r="F21" s="120"/>
      <c r="G21" s="120">
        <v>775</v>
      </c>
      <c r="I21" s="1724">
        <v>850</v>
      </c>
      <c r="K21" s="1724">
        <v>850</v>
      </c>
      <c r="M21" s="75"/>
      <c r="N21" s="148"/>
      <c r="O21" s="142"/>
    </row>
    <row r="22" spans="1:15" s="40" customFormat="1" x14ac:dyDescent="0.2">
      <c r="A22" s="156" t="s">
        <v>582</v>
      </c>
      <c r="B22" s="145"/>
      <c r="C22" s="1724">
        <v>1008</v>
      </c>
      <c r="D22" s="120"/>
      <c r="E22" s="1724">
        <v>1001</v>
      </c>
      <c r="F22" s="120"/>
      <c r="G22" s="120">
        <v>985</v>
      </c>
      <c r="I22" s="1724">
        <v>1000</v>
      </c>
      <c r="K22" s="1724">
        <v>1000</v>
      </c>
      <c r="M22" s="75"/>
      <c r="N22" s="148"/>
      <c r="O22" s="142"/>
    </row>
    <row r="23" spans="1:15" s="40" customFormat="1" x14ac:dyDescent="0.2">
      <c r="A23" s="156" t="s">
        <v>583</v>
      </c>
      <c r="B23" s="145"/>
      <c r="C23" s="1724">
        <v>5504</v>
      </c>
      <c r="D23" s="120"/>
      <c r="E23" s="1724">
        <v>5675</v>
      </c>
      <c r="F23" s="120"/>
      <c r="G23" s="120">
        <v>5505</v>
      </c>
      <c r="I23" s="1724">
        <v>5734</v>
      </c>
      <c r="K23" s="1724">
        <v>5750</v>
      </c>
      <c r="M23" s="75"/>
      <c r="N23" s="148"/>
      <c r="O23" s="142"/>
    </row>
    <row r="24" spans="1:15" s="40" customFormat="1" x14ac:dyDescent="0.2">
      <c r="A24" s="144" t="s">
        <v>584</v>
      </c>
      <c r="B24" s="145"/>
      <c r="C24" s="1724">
        <v>970</v>
      </c>
      <c r="D24" s="120"/>
      <c r="E24" s="1724">
        <v>1045</v>
      </c>
      <c r="F24" s="120"/>
      <c r="G24" s="120">
        <v>1000</v>
      </c>
      <c r="I24" s="1724">
        <v>1040</v>
      </c>
      <c r="K24" s="1724">
        <v>1100</v>
      </c>
      <c r="M24" s="75"/>
      <c r="N24" s="148"/>
      <c r="O24" s="142"/>
    </row>
    <row r="25" spans="1:15" s="40" customFormat="1" x14ac:dyDescent="0.2">
      <c r="A25" s="144" t="s">
        <v>585</v>
      </c>
      <c r="B25" s="145"/>
      <c r="C25" s="1724">
        <v>6474</v>
      </c>
      <c r="D25" s="120"/>
      <c r="E25" s="1724">
        <v>6720</v>
      </c>
      <c r="F25" s="120"/>
      <c r="G25" s="120">
        <v>6505</v>
      </c>
      <c r="I25" s="1724">
        <v>6774</v>
      </c>
      <c r="K25" s="1724">
        <v>6850</v>
      </c>
      <c r="M25" s="75"/>
      <c r="N25" s="148"/>
      <c r="O25" s="142"/>
    </row>
    <row r="26" spans="1:15" s="40" customFormat="1" x14ac:dyDescent="0.2">
      <c r="A26" s="90"/>
      <c r="B26" s="39"/>
      <c r="C26" s="74"/>
      <c r="E26" s="74"/>
      <c r="I26" s="74"/>
      <c r="K26" s="74"/>
      <c r="M26" s="78"/>
    </row>
    <row r="27" spans="1:15" s="40" customFormat="1" x14ac:dyDescent="0.2">
      <c r="A27" s="144" t="s">
        <v>586</v>
      </c>
      <c r="B27" s="145"/>
      <c r="C27" s="74"/>
      <c r="E27" s="74"/>
      <c r="I27" s="74"/>
      <c r="K27" s="74"/>
      <c r="M27" s="75"/>
      <c r="N27" s="148"/>
      <c r="O27" s="142"/>
    </row>
    <row r="28" spans="1:15" s="40" customFormat="1" x14ac:dyDescent="0.2">
      <c r="A28" s="150" t="s">
        <v>587</v>
      </c>
      <c r="B28" s="145"/>
      <c r="C28" s="1724">
        <v>326</v>
      </c>
      <c r="D28" s="118"/>
      <c r="E28" s="1724">
        <v>326</v>
      </c>
      <c r="F28" s="118"/>
      <c r="G28" s="120">
        <v>326</v>
      </c>
      <c r="I28" s="1724">
        <v>326</v>
      </c>
      <c r="K28" s="1724">
        <v>326</v>
      </c>
      <c r="M28" s="75"/>
      <c r="N28" s="148"/>
      <c r="O28" s="142"/>
    </row>
    <row r="29" spans="1:15" s="40" customFormat="1" x14ac:dyDescent="0.2">
      <c r="A29" s="150" t="s">
        <v>588</v>
      </c>
      <c r="B29" s="145"/>
      <c r="C29" s="1726">
        <v>468</v>
      </c>
      <c r="D29" s="118"/>
      <c r="E29" s="1726">
        <v>468</v>
      </c>
      <c r="F29" s="118"/>
      <c r="G29" s="375">
        <v>468</v>
      </c>
      <c r="I29" s="1726">
        <v>468</v>
      </c>
      <c r="K29" s="1726">
        <v>468</v>
      </c>
      <c r="M29" s="376"/>
      <c r="N29" s="148"/>
      <c r="O29" s="142"/>
    </row>
    <row r="30" spans="1:15" s="40" customFormat="1" x14ac:dyDescent="0.2">
      <c r="A30" s="150" t="s">
        <v>589</v>
      </c>
      <c r="B30" s="145"/>
      <c r="C30" s="1726">
        <v>525</v>
      </c>
      <c r="D30" s="118"/>
      <c r="E30" s="1726">
        <v>525</v>
      </c>
      <c r="F30" s="118"/>
      <c r="G30" s="375">
        <v>525</v>
      </c>
      <c r="I30" s="1726">
        <v>525</v>
      </c>
      <c r="K30" s="1726">
        <v>525</v>
      </c>
      <c r="M30" s="376"/>
      <c r="N30" s="148"/>
      <c r="O30" s="142"/>
    </row>
    <row r="31" spans="1:15" s="40" customFormat="1" ht="25.5" x14ac:dyDescent="0.2">
      <c r="A31" s="172" t="s">
        <v>590</v>
      </c>
      <c r="B31" s="145"/>
      <c r="C31" s="1726">
        <v>25</v>
      </c>
      <c r="D31" s="118"/>
      <c r="E31" s="1726">
        <v>25</v>
      </c>
      <c r="F31" s="118"/>
      <c r="G31" s="375">
        <v>25</v>
      </c>
      <c r="I31" s="1726">
        <v>25</v>
      </c>
      <c r="K31" s="1726">
        <v>25</v>
      </c>
      <c r="M31" s="376"/>
      <c r="N31" s="148"/>
      <c r="O31" s="142"/>
    </row>
    <row r="32" spans="1:15" s="40" customFormat="1" x14ac:dyDescent="0.2">
      <c r="A32" s="144"/>
      <c r="B32" s="145"/>
      <c r="C32" s="435"/>
      <c r="E32" s="435"/>
      <c r="I32" s="435"/>
      <c r="K32" s="435"/>
      <c r="M32" s="75"/>
      <c r="N32" s="148"/>
      <c r="O32" s="142"/>
    </row>
    <row r="33" spans="1:15" s="40" customFormat="1" x14ac:dyDescent="0.2">
      <c r="A33" s="144" t="s">
        <v>591</v>
      </c>
      <c r="B33" s="145"/>
      <c r="C33" s="435"/>
      <c r="E33" s="435"/>
      <c r="I33" s="435"/>
      <c r="K33" s="435"/>
      <c r="M33" s="75"/>
      <c r="N33" s="148"/>
      <c r="O33" s="142"/>
    </row>
    <row r="34" spans="1:15" s="40" customFormat="1" x14ac:dyDescent="0.2">
      <c r="A34" s="150" t="s">
        <v>592</v>
      </c>
      <c r="B34" s="145"/>
      <c r="C34" s="1724">
        <v>3221</v>
      </c>
      <c r="D34" s="118"/>
      <c r="E34" s="1724">
        <v>3286</v>
      </c>
      <c r="F34" s="118"/>
      <c r="G34" s="120">
        <v>3400</v>
      </c>
      <c r="I34" s="1724">
        <v>3300</v>
      </c>
      <c r="K34" s="1724">
        <v>3300</v>
      </c>
      <c r="M34" s="75"/>
      <c r="N34" s="148"/>
      <c r="O34" s="142"/>
    </row>
    <row r="35" spans="1:15" s="40" customFormat="1" x14ac:dyDescent="0.2">
      <c r="A35" s="150" t="s">
        <v>587</v>
      </c>
      <c r="B35" s="145"/>
      <c r="C35" s="1724">
        <v>1388</v>
      </c>
      <c r="D35" s="141"/>
      <c r="E35" s="1724">
        <v>1295</v>
      </c>
      <c r="F35" s="118"/>
      <c r="G35" s="120">
        <v>1100</v>
      </c>
      <c r="I35" s="1724">
        <v>1300</v>
      </c>
      <c r="K35" s="1724">
        <v>1300</v>
      </c>
      <c r="M35" s="75"/>
      <c r="N35" s="148"/>
      <c r="O35" s="142"/>
    </row>
    <row r="36" spans="1:15" s="40" customFormat="1" x14ac:dyDescent="0.2">
      <c r="A36" s="150" t="s">
        <v>588</v>
      </c>
      <c r="B36" s="145"/>
      <c r="C36" s="1724">
        <v>1155</v>
      </c>
      <c r="D36" s="118"/>
      <c r="E36" s="1724">
        <v>895</v>
      </c>
      <c r="F36" s="118"/>
      <c r="G36" s="120">
        <v>1150</v>
      </c>
      <c r="I36" s="1724">
        <v>900</v>
      </c>
      <c r="K36" s="1724">
        <v>950</v>
      </c>
      <c r="M36" s="75"/>
      <c r="N36" s="148"/>
      <c r="O36" s="142"/>
    </row>
    <row r="37" spans="1:15" s="40" customFormat="1" x14ac:dyDescent="0.2">
      <c r="A37" s="150" t="s">
        <v>593</v>
      </c>
      <c r="B37" s="145"/>
      <c r="C37" s="1724">
        <v>1576</v>
      </c>
      <c r="D37" s="118"/>
      <c r="E37" s="1724">
        <v>1888</v>
      </c>
      <c r="F37" s="118"/>
      <c r="G37" s="120">
        <v>1750</v>
      </c>
      <c r="I37" s="1724">
        <v>1900</v>
      </c>
      <c r="K37" s="1724">
        <v>1850</v>
      </c>
      <c r="M37" s="75"/>
      <c r="N37" s="148"/>
      <c r="O37" s="142"/>
    </row>
    <row r="38" spans="1:15" s="40" customFormat="1" x14ac:dyDescent="0.2">
      <c r="A38" s="144" t="s">
        <v>594</v>
      </c>
      <c r="B38" s="145"/>
      <c r="C38" s="1724">
        <f>SUM(C34:C37)</f>
        <v>7340</v>
      </c>
      <c r="D38" s="118"/>
      <c r="E38" s="1724">
        <f>SUM(E34:E37)</f>
        <v>7364</v>
      </c>
      <c r="F38" s="118"/>
      <c r="G38" s="120">
        <f>SUM(G34:G37)</f>
        <v>7400</v>
      </c>
      <c r="I38" s="1724">
        <f>SUM(I34:I37)</f>
        <v>7400</v>
      </c>
      <c r="K38" s="1724">
        <f>SUM(K34:K37)</f>
        <v>7400</v>
      </c>
      <c r="M38" s="75"/>
      <c r="N38" s="148"/>
      <c r="O38" s="142"/>
    </row>
    <row r="39" spans="1:15" s="40" customFormat="1" ht="12.75" customHeight="1" x14ac:dyDescent="0.2">
      <c r="A39" s="90"/>
      <c r="B39" s="39"/>
      <c r="C39" s="74"/>
      <c r="E39" s="74"/>
      <c r="I39" s="74"/>
      <c r="K39" s="74"/>
      <c r="M39" s="78"/>
    </row>
    <row r="40" spans="1:15" s="40" customFormat="1" x14ac:dyDescent="0.2">
      <c r="A40" s="139" t="s">
        <v>595</v>
      </c>
      <c r="B40" s="140"/>
      <c r="C40" s="74"/>
      <c r="E40" s="74"/>
      <c r="I40" s="74"/>
      <c r="K40" s="74"/>
      <c r="M40" s="79"/>
      <c r="N40" s="148"/>
      <c r="O40" s="142"/>
    </row>
    <row r="41" spans="1:15" s="40" customFormat="1" x14ac:dyDescent="0.2">
      <c r="A41" s="144" t="s">
        <v>596</v>
      </c>
      <c r="B41" s="145"/>
      <c r="C41" s="1727">
        <f>C42+C43+C44+C45</f>
        <v>20554</v>
      </c>
      <c r="D41" s="378"/>
      <c r="E41" s="1727">
        <f>E42+E43+E44+E45</f>
        <v>19277</v>
      </c>
      <c r="F41" s="118"/>
      <c r="G41" s="120">
        <f>G42+G43+G44+G45</f>
        <v>20900</v>
      </c>
      <c r="I41" s="1727">
        <f>I42+I43+I44+I45</f>
        <v>19787</v>
      </c>
      <c r="K41" s="1727">
        <v>20100</v>
      </c>
      <c r="M41" s="75"/>
      <c r="N41" s="148"/>
      <c r="O41" s="142"/>
    </row>
    <row r="42" spans="1:15" s="37" customFormat="1" x14ac:dyDescent="0.2">
      <c r="A42" s="150" t="s">
        <v>10</v>
      </c>
      <c r="B42" s="145"/>
      <c r="C42" s="1724">
        <v>14571</v>
      </c>
      <c r="D42" s="378"/>
      <c r="E42" s="1724">
        <v>13417</v>
      </c>
      <c r="F42" s="118"/>
      <c r="G42" s="379">
        <v>14800</v>
      </c>
      <c r="I42" s="1724">
        <v>14212</v>
      </c>
      <c r="K42" s="1724">
        <v>14400</v>
      </c>
      <c r="M42" s="75"/>
      <c r="N42" s="148"/>
      <c r="O42" s="142"/>
    </row>
    <row r="43" spans="1:15" s="37" customFormat="1" x14ac:dyDescent="0.2">
      <c r="A43" s="150" t="s">
        <v>597</v>
      </c>
      <c r="B43" s="145"/>
      <c r="C43" s="1724">
        <v>2424</v>
      </c>
      <c r="D43" s="378"/>
      <c r="E43" s="1724">
        <v>2518</v>
      </c>
      <c r="F43" s="118"/>
      <c r="G43" s="373">
        <v>2400</v>
      </c>
      <c r="I43" s="1724">
        <v>2185</v>
      </c>
      <c r="K43" s="1724">
        <v>2200</v>
      </c>
      <c r="M43" s="75"/>
      <c r="N43" s="148"/>
      <c r="O43" s="142"/>
    </row>
    <row r="44" spans="1:15" s="37" customFormat="1" x14ac:dyDescent="0.2">
      <c r="A44" s="150" t="s">
        <v>598</v>
      </c>
      <c r="B44" s="145"/>
      <c r="C44" s="1724">
        <v>1445</v>
      </c>
      <c r="D44" s="378"/>
      <c r="E44" s="1724">
        <v>1321</v>
      </c>
      <c r="F44" s="118"/>
      <c r="G44" s="373">
        <v>1500</v>
      </c>
      <c r="I44" s="1724">
        <v>1320</v>
      </c>
      <c r="K44" s="1724">
        <v>1400</v>
      </c>
      <c r="M44" s="75"/>
      <c r="N44" s="148"/>
      <c r="O44" s="142"/>
    </row>
    <row r="45" spans="1:15" s="37" customFormat="1" x14ac:dyDescent="0.2">
      <c r="A45" s="150" t="s">
        <v>599</v>
      </c>
      <c r="B45" s="145"/>
      <c r="C45" s="1727">
        <v>2114</v>
      </c>
      <c r="D45" s="378"/>
      <c r="E45" s="1727">
        <v>2021</v>
      </c>
      <c r="F45" s="118"/>
      <c r="G45" s="377">
        <v>2200</v>
      </c>
      <c r="I45" s="1727">
        <v>2070</v>
      </c>
      <c r="K45" s="1727">
        <v>2100</v>
      </c>
      <c r="M45" s="75"/>
      <c r="N45" s="148"/>
      <c r="O45" s="142"/>
    </row>
    <row r="46" spans="1:15" s="37" customFormat="1" x14ac:dyDescent="0.2">
      <c r="A46" s="144" t="s">
        <v>600</v>
      </c>
      <c r="B46" s="145"/>
      <c r="C46" s="1728"/>
      <c r="D46" s="378"/>
      <c r="E46" s="1728"/>
      <c r="F46" s="118"/>
      <c r="G46" s="374"/>
      <c r="I46" s="1728"/>
      <c r="K46" s="1728"/>
      <c r="M46" s="79"/>
      <c r="N46" s="148"/>
      <c r="O46" s="142"/>
    </row>
    <row r="47" spans="1:15" s="37" customFormat="1" x14ac:dyDescent="0.2">
      <c r="A47" s="150" t="s">
        <v>601</v>
      </c>
      <c r="B47" s="145"/>
      <c r="C47" s="1727">
        <v>774</v>
      </c>
      <c r="D47" s="378"/>
      <c r="E47" s="1727">
        <v>949</v>
      </c>
      <c r="F47" s="118"/>
      <c r="G47" s="377">
        <v>900</v>
      </c>
      <c r="I47" s="1727">
        <v>1244</v>
      </c>
      <c r="K47" s="1727">
        <v>1244</v>
      </c>
      <c r="M47" s="75"/>
      <c r="N47" s="148"/>
      <c r="O47" s="142"/>
    </row>
    <row r="48" spans="1:15" s="37" customFormat="1" x14ac:dyDescent="0.2">
      <c r="A48" s="150" t="s">
        <v>602</v>
      </c>
      <c r="B48" s="145"/>
      <c r="C48" s="1724">
        <v>766</v>
      </c>
      <c r="D48" s="378"/>
      <c r="E48" s="1724">
        <v>800</v>
      </c>
      <c r="F48" s="118"/>
      <c r="G48" s="373">
        <v>800</v>
      </c>
      <c r="I48" s="1724">
        <v>800</v>
      </c>
      <c r="K48" s="1724">
        <v>800</v>
      </c>
      <c r="M48" s="75"/>
      <c r="N48" s="148"/>
      <c r="O48" s="142"/>
    </row>
    <row r="49" spans="1:17" s="37" customFormat="1" x14ac:dyDescent="0.2">
      <c r="A49" s="150"/>
      <c r="B49" s="145"/>
      <c r="C49" s="73"/>
      <c r="E49" s="73"/>
      <c r="I49" s="73"/>
      <c r="K49" s="73"/>
      <c r="M49" s="75"/>
      <c r="N49" s="148"/>
      <c r="O49" s="142"/>
    </row>
    <row r="50" spans="1:17" s="37" customFormat="1" x14ac:dyDescent="0.2">
      <c r="A50" s="139" t="s">
        <v>194</v>
      </c>
      <c r="B50" s="140"/>
      <c r="C50" s="73"/>
      <c r="E50" s="73"/>
      <c r="I50" s="73"/>
      <c r="K50" s="73"/>
      <c r="M50" s="86"/>
      <c r="N50" s="142"/>
      <c r="O50" s="142"/>
    </row>
    <row r="51" spans="1:17" s="37" customFormat="1" x14ac:dyDescent="0.2">
      <c r="A51" s="139" t="s">
        <v>254</v>
      </c>
      <c r="B51" s="140"/>
      <c r="C51" s="73"/>
      <c r="E51" s="73"/>
      <c r="I51" s="73"/>
      <c r="K51" s="73"/>
      <c r="M51" s="86"/>
      <c r="N51" s="142"/>
      <c r="O51" s="142"/>
    </row>
    <row r="52" spans="1:17" s="40" customFormat="1" x14ac:dyDescent="0.2">
      <c r="A52" s="144" t="s">
        <v>332</v>
      </c>
      <c r="B52" s="140"/>
      <c r="C52" s="1727">
        <v>73</v>
      </c>
      <c r="D52" s="118"/>
      <c r="E52" s="1727">
        <v>73</v>
      </c>
      <c r="F52" s="378"/>
      <c r="G52" s="120"/>
      <c r="I52" s="1727">
        <v>69</v>
      </c>
      <c r="K52" s="1727"/>
      <c r="M52" s="75"/>
      <c r="N52" s="142"/>
      <c r="O52" s="142"/>
    </row>
    <row r="53" spans="1:17" s="40" customFormat="1" x14ac:dyDescent="0.2">
      <c r="A53" s="144" t="s">
        <v>256</v>
      </c>
      <c r="B53" s="140"/>
      <c r="C53" s="1047">
        <v>0.126</v>
      </c>
      <c r="D53" s="118"/>
      <c r="E53" s="1047">
        <f>E52/E61</f>
        <v>0.12564543889845095</v>
      </c>
      <c r="F53" s="378"/>
      <c r="G53" s="380"/>
      <c r="I53" s="1047">
        <f>I52/I61</f>
        <v>0.12299465240641712</v>
      </c>
      <c r="K53" s="1047"/>
      <c r="M53" s="381"/>
      <c r="N53" s="142"/>
      <c r="O53" s="142"/>
    </row>
    <row r="54" spans="1:17" s="40" customFormat="1" x14ac:dyDescent="0.2">
      <c r="A54" s="144" t="s">
        <v>257</v>
      </c>
      <c r="B54" s="140"/>
      <c r="C54" s="1727">
        <v>97</v>
      </c>
      <c r="D54" s="118"/>
      <c r="E54" s="1727">
        <v>97</v>
      </c>
      <c r="F54" s="378"/>
      <c r="G54" s="120"/>
      <c r="I54" s="1727">
        <v>91</v>
      </c>
      <c r="K54" s="1727"/>
      <c r="M54" s="75"/>
      <c r="N54" s="142"/>
      <c r="O54" s="142"/>
    </row>
    <row r="55" spans="1:17" s="40" customFormat="1" x14ac:dyDescent="0.2">
      <c r="A55" s="144" t="s">
        <v>258</v>
      </c>
      <c r="B55" s="140"/>
      <c r="C55" s="1047">
        <v>0.16800000000000001</v>
      </c>
      <c r="D55" s="118"/>
      <c r="E55" s="1047">
        <f>E54/E61</f>
        <v>0.16695352839931152</v>
      </c>
      <c r="F55" s="378"/>
      <c r="G55" s="380"/>
      <c r="I55" s="1047">
        <f>I54/I61</f>
        <v>0.16221033868092691</v>
      </c>
      <c r="K55" s="1047"/>
      <c r="M55" s="382"/>
      <c r="N55" s="142"/>
      <c r="O55" s="142"/>
    </row>
    <row r="56" spans="1:17" s="40" customFormat="1" x14ac:dyDescent="0.2">
      <c r="A56" s="144" t="s">
        <v>259</v>
      </c>
      <c r="B56" s="140"/>
      <c r="C56" s="1727">
        <f>C52+C54</f>
        <v>170</v>
      </c>
      <c r="D56" s="120"/>
      <c r="E56" s="1727">
        <f>E52+E54</f>
        <v>170</v>
      </c>
      <c r="F56" s="378"/>
      <c r="G56" s="120"/>
      <c r="I56" s="1727">
        <f>I52+I54</f>
        <v>160</v>
      </c>
      <c r="K56" s="1727"/>
      <c r="M56" s="75"/>
      <c r="N56" s="142"/>
      <c r="O56" s="142"/>
    </row>
    <row r="57" spans="1:17" s="40" customFormat="1" x14ac:dyDescent="0.2">
      <c r="A57" s="144" t="s">
        <v>260</v>
      </c>
      <c r="B57" s="140"/>
      <c r="C57" s="1047">
        <v>0.29399999999999998</v>
      </c>
      <c r="D57" s="118"/>
      <c r="E57" s="1047">
        <f>E56/E61</f>
        <v>0.29259896729776247</v>
      </c>
      <c r="F57" s="378"/>
      <c r="G57" s="380"/>
      <c r="I57" s="1047">
        <f>I56/I61</f>
        <v>0.28520499108734404</v>
      </c>
      <c r="K57" s="1047"/>
      <c r="M57" s="383"/>
      <c r="N57" s="142"/>
      <c r="O57" s="142"/>
    </row>
    <row r="58" spans="1:17" s="40" customFormat="1" x14ac:dyDescent="0.2">
      <c r="A58" s="139"/>
      <c r="B58" s="140"/>
      <c r="C58" s="74"/>
      <c r="E58" s="74"/>
      <c r="I58" s="74"/>
      <c r="K58" s="74"/>
      <c r="M58" s="86"/>
      <c r="N58" s="142"/>
      <c r="O58" s="142"/>
    </row>
    <row r="59" spans="1:17" s="40" customFormat="1" x14ac:dyDescent="0.2">
      <c r="A59" s="35" t="s">
        <v>195</v>
      </c>
      <c r="B59" s="140"/>
      <c r="C59" s="74"/>
      <c r="E59" s="74"/>
      <c r="I59" s="74"/>
      <c r="K59" s="74"/>
      <c r="M59" s="86"/>
      <c r="N59" s="142"/>
      <c r="O59" s="142"/>
    </row>
    <row r="60" spans="1:17" s="40" customFormat="1" x14ac:dyDescent="0.2">
      <c r="A60" s="38" t="s">
        <v>196</v>
      </c>
      <c r="B60" s="145"/>
      <c r="C60" s="74"/>
      <c r="E60" s="74"/>
      <c r="I60" s="74"/>
      <c r="K60" s="74"/>
      <c r="M60" s="75"/>
      <c r="N60" s="148"/>
      <c r="O60" s="148"/>
    </row>
    <row r="61" spans="1:17" s="48" customFormat="1" x14ac:dyDescent="0.2">
      <c r="A61" s="41" t="s">
        <v>197</v>
      </c>
      <c r="B61" s="145"/>
      <c r="C61" s="1729">
        <v>578</v>
      </c>
      <c r="D61" s="385"/>
      <c r="E61" s="1729">
        <v>581</v>
      </c>
      <c r="F61" s="385"/>
      <c r="G61" s="384">
        <v>576</v>
      </c>
      <c r="H61" s="323"/>
      <c r="I61" s="1729">
        <v>561</v>
      </c>
      <c r="J61" s="323"/>
      <c r="K61" s="1729">
        <v>570</v>
      </c>
      <c r="M61" s="386"/>
      <c r="N61" s="148"/>
      <c r="O61" s="148"/>
    </row>
    <row r="62" spans="1:17" s="48" customFormat="1" x14ac:dyDescent="0.2">
      <c r="A62" s="41" t="s">
        <v>198</v>
      </c>
      <c r="B62" s="145"/>
      <c r="C62" s="1730">
        <f>SUM(C61)</f>
        <v>578</v>
      </c>
      <c r="D62" s="385"/>
      <c r="E62" s="1730">
        <f>SUM(E61)</f>
        <v>581</v>
      </c>
      <c r="F62" s="385"/>
      <c r="G62" s="387">
        <f>SUM(G61)</f>
        <v>576</v>
      </c>
      <c r="H62" s="323"/>
      <c r="I62" s="1730">
        <f>I61</f>
        <v>561</v>
      </c>
      <c r="J62" s="323"/>
      <c r="K62" s="1730">
        <f>K61</f>
        <v>570</v>
      </c>
      <c r="M62" s="388"/>
      <c r="N62" s="148"/>
      <c r="O62" s="148"/>
    </row>
    <row r="63" spans="1:17" x14ac:dyDescent="0.2">
      <c r="A63" s="38" t="s">
        <v>199</v>
      </c>
      <c r="B63" s="145"/>
      <c r="C63" s="1731"/>
      <c r="D63" s="169"/>
      <c r="E63" s="1731"/>
      <c r="F63" s="169"/>
      <c r="G63" s="168"/>
      <c r="I63" s="1731"/>
      <c r="K63" s="1731"/>
      <c r="M63" s="389"/>
      <c r="N63" s="148"/>
      <c r="O63" s="148"/>
      <c r="P63" s="54"/>
      <c r="Q63" s="951"/>
    </row>
    <row r="64" spans="1:17" x14ac:dyDescent="0.2">
      <c r="A64" s="41" t="s">
        <v>9</v>
      </c>
      <c r="B64" s="145"/>
      <c r="C64" s="1731">
        <v>405</v>
      </c>
      <c r="D64" s="169"/>
      <c r="E64" s="1731">
        <v>426</v>
      </c>
      <c r="F64" s="169"/>
      <c r="G64" s="169">
        <v>420</v>
      </c>
      <c r="I64" s="1731">
        <v>404</v>
      </c>
      <c r="K64" s="1731">
        <v>413</v>
      </c>
      <c r="M64" s="386"/>
      <c r="N64" s="148"/>
      <c r="O64" s="148"/>
      <c r="P64" s="148"/>
      <c r="Q64" s="148"/>
    </row>
    <row r="65" spans="1:17" x14ac:dyDescent="0.2">
      <c r="A65" s="41" t="s">
        <v>595</v>
      </c>
      <c r="B65" s="145"/>
      <c r="C65" s="1731">
        <v>130</v>
      </c>
      <c r="D65" s="169"/>
      <c r="E65" s="1731">
        <v>118</v>
      </c>
      <c r="F65" s="169"/>
      <c r="G65" s="169">
        <v>118</v>
      </c>
      <c r="I65" s="1731">
        <v>123</v>
      </c>
      <c r="K65" s="1731">
        <v>123</v>
      </c>
      <c r="M65" s="386"/>
      <c r="N65" s="148"/>
      <c r="O65" s="148"/>
      <c r="P65" s="148"/>
      <c r="Q65" s="148"/>
    </row>
    <row r="66" spans="1:17" x14ac:dyDescent="0.2">
      <c r="A66" s="41" t="s">
        <v>335</v>
      </c>
      <c r="B66" s="145"/>
      <c r="C66" s="1731">
        <v>43</v>
      </c>
      <c r="D66" s="169"/>
      <c r="E66" s="1731">
        <v>37</v>
      </c>
      <c r="F66" s="169"/>
      <c r="G66" s="169">
        <v>38</v>
      </c>
      <c r="I66" s="1731">
        <v>34</v>
      </c>
      <c r="K66" s="1731">
        <v>34</v>
      </c>
      <c r="M66" s="386"/>
      <c r="N66" s="148"/>
      <c r="O66" s="148"/>
      <c r="P66" s="148"/>
      <c r="Q66" s="148"/>
    </row>
    <row r="67" spans="1:17" x14ac:dyDescent="0.2">
      <c r="A67" s="41" t="s">
        <v>198</v>
      </c>
      <c r="B67" s="145"/>
      <c r="C67" s="1731">
        <f>SUM(C64:C66)</f>
        <v>578</v>
      </c>
      <c r="D67" s="169"/>
      <c r="E67" s="1731">
        <f>SUM(E64:E66)</f>
        <v>581</v>
      </c>
      <c r="F67" s="390"/>
      <c r="G67" s="169">
        <f>SUM(G64:G66)</f>
        <v>576</v>
      </c>
      <c r="I67" s="1731">
        <f>SUM(I64:I66)</f>
        <v>561</v>
      </c>
      <c r="K67" s="1731">
        <f>SUM(K64:K66)</f>
        <v>570</v>
      </c>
      <c r="M67" s="386"/>
      <c r="N67" s="148"/>
      <c r="O67" s="148"/>
      <c r="P67" s="148"/>
      <c r="Q67" s="148"/>
    </row>
    <row r="68" spans="1:17" x14ac:dyDescent="0.2">
      <c r="A68" s="329"/>
      <c r="B68" s="329"/>
      <c r="C68" s="59"/>
      <c r="D68" s="60"/>
      <c r="M68" s="329"/>
      <c r="N68" s="329"/>
      <c r="O68" s="54"/>
      <c r="P68" s="54"/>
    </row>
    <row r="69" spans="1:17" x14ac:dyDescent="0.2">
      <c r="A69" s="49" t="s">
        <v>200</v>
      </c>
      <c r="B69" s="54"/>
      <c r="C69" s="54"/>
      <c r="D69" s="54"/>
      <c r="E69" s="54"/>
      <c r="F69" s="54"/>
      <c r="G69" s="54"/>
      <c r="H69" s="54"/>
      <c r="I69" s="54"/>
      <c r="J69" s="54"/>
      <c r="K69" s="54"/>
      <c r="L69" s="54"/>
      <c r="M69" s="54"/>
      <c r="N69" s="54"/>
      <c r="O69" s="54"/>
      <c r="P69" s="54"/>
    </row>
    <row r="70" spans="1:17" ht="28.5" customHeight="1" x14ac:dyDescent="0.2">
      <c r="A70" s="1753" t="s">
        <v>524</v>
      </c>
      <c r="B70" s="1754"/>
      <c r="C70" s="1754"/>
      <c r="D70" s="1754"/>
      <c r="E70" s="1754"/>
      <c r="F70" s="1754"/>
      <c r="G70" s="1754"/>
      <c r="H70" s="1754"/>
      <c r="I70" s="1754"/>
      <c r="J70" s="1754"/>
      <c r="K70" s="1754"/>
      <c r="L70" s="1754"/>
      <c r="M70" s="1754"/>
      <c r="N70" s="1754"/>
      <c r="O70" s="54"/>
      <c r="P70" s="54"/>
      <c r="Q70" s="57"/>
    </row>
    <row r="71" spans="1:17" x14ac:dyDescent="0.2">
      <c r="B71" s="25"/>
      <c r="C71" s="25"/>
      <c r="D71" s="25"/>
      <c r="E71" s="58"/>
      <c r="F71" s="58"/>
      <c r="G71" s="58"/>
      <c r="H71" s="58"/>
    </row>
    <row r="72" spans="1:17" ht="27" customHeight="1" x14ac:dyDescent="0.2">
      <c r="A72" s="1738"/>
      <c r="B72" s="1755"/>
      <c r="C72" s="1755"/>
      <c r="D72" s="1755"/>
      <c r="E72" s="1755"/>
      <c r="F72" s="1755"/>
      <c r="G72" s="1755"/>
      <c r="H72" s="1755"/>
      <c r="I72" s="1755"/>
      <c r="J72" s="1755"/>
      <c r="K72" s="1755"/>
      <c r="L72" s="1755"/>
    </row>
    <row r="73" spans="1:17" ht="34.5" customHeight="1" x14ac:dyDescent="0.2">
      <c r="A73" s="1756"/>
      <c r="B73" s="1757"/>
      <c r="C73" s="1757"/>
      <c r="D73" s="1757"/>
      <c r="E73" s="1757"/>
      <c r="F73" s="1757"/>
      <c r="G73" s="1757"/>
      <c r="H73" s="1757"/>
      <c r="I73" s="1757"/>
      <c r="J73" s="1757"/>
      <c r="K73" s="1757"/>
      <c r="L73" s="1757"/>
    </row>
    <row r="74" spans="1:17" ht="29.25" customHeight="1" x14ac:dyDescent="0.2">
      <c r="B74" s="25"/>
      <c r="C74" s="25"/>
      <c r="D74" s="25"/>
      <c r="E74" s="58"/>
      <c r="F74" s="58"/>
      <c r="G74" s="58"/>
      <c r="H74" s="58"/>
    </row>
    <row r="75" spans="1:17" x14ac:dyDescent="0.2">
      <c r="B75" s="25"/>
      <c r="C75" s="25"/>
      <c r="D75" s="25"/>
      <c r="E75" s="58"/>
      <c r="F75" s="58"/>
      <c r="G75" s="58"/>
      <c r="H75" s="58"/>
    </row>
    <row r="76" spans="1:17" x14ac:dyDescent="0.2">
      <c r="B76" s="25"/>
      <c r="C76" s="25"/>
      <c r="D76" s="25"/>
      <c r="E76" s="58"/>
      <c r="F76" s="58"/>
      <c r="G76" s="58"/>
      <c r="H76" s="58"/>
    </row>
    <row r="77" spans="1:17" x14ac:dyDescent="0.2">
      <c r="B77" s="25"/>
      <c r="C77" s="25"/>
      <c r="D77" s="25"/>
      <c r="E77" s="58"/>
      <c r="F77" s="58"/>
      <c r="G77" s="58"/>
      <c r="H77" s="58"/>
    </row>
    <row r="78" spans="1:17" x14ac:dyDescent="0.2">
      <c r="B78" s="25"/>
      <c r="C78" s="25"/>
      <c r="D78" s="25"/>
      <c r="E78" s="58"/>
      <c r="F78" s="58"/>
      <c r="G78" s="58"/>
      <c r="H78" s="58"/>
    </row>
    <row r="79" spans="1:17" x14ac:dyDescent="0.2">
      <c r="B79" s="25"/>
      <c r="C79" s="25"/>
      <c r="D79" s="25"/>
      <c r="E79" s="58"/>
      <c r="F79" s="58"/>
      <c r="G79" s="58"/>
      <c r="H79" s="58"/>
    </row>
    <row r="80" spans="1:17"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25"/>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row>
    <row r="101" spans="2:8" x14ac:dyDescent="0.2">
      <c r="B101" s="25"/>
    </row>
    <row r="102" spans="2:8" x14ac:dyDescent="0.2">
      <c r="B102" s="25"/>
    </row>
    <row r="103" spans="2:8" x14ac:dyDescent="0.2">
      <c r="B103" s="25"/>
    </row>
    <row r="104" spans="2:8" x14ac:dyDescent="0.2">
      <c r="B104" s="25"/>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sheetData>
  <mergeCells count="4">
    <mergeCell ref="A70:N70"/>
    <mergeCell ref="A72:L72"/>
    <mergeCell ref="A73:L73"/>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rintOptions horizontalCentered="1"/>
  <pageMargins left="0.5" right="0.5" top="1" bottom="1" header="0.5" footer="0.5"/>
  <pageSetup scale="65" pageOrder="overThenDown" orientation="portrait" blackAndWhite="1" r:id="rId1"/>
  <headerFooter alignWithMargins="0">
    <oddFooter>&amp;LFY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2">
    <pageSetUpPr fitToPage="1"/>
  </sheetPr>
  <dimension ref="A1:Q9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514</v>
      </c>
      <c r="C3" s="10" t="s">
        <v>515</v>
      </c>
      <c r="D3" s="6"/>
      <c r="E3" s="11"/>
      <c r="F3" s="9"/>
      <c r="G3" s="11"/>
      <c r="H3" s="6"/>
      <c r="I3" s="11"/>
      <c r="J3" s="6"/>
      <c r="K3" s="1734"/>
      <c r="L3" s="6"/>
      <c r="M3" s="11"/>
      <c r="N3" s="6"/>
    </row>
    <row r="4" spans="1:16" s="4" customFormat="1" ht="15.75" x14ac:dyDescent="0.25">
      <c r="A4" s="1" t="s">
        <v>180</v>
      </c>
      <c r="B4" s="10" t="s">
        <v>603</v>
      </c>
      <c r="C4" s="10" t="s">
        <v>604</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row>
    <row r="11" spans="1:16" s="40" customFormat="1" x14ac:dyDescent="0.2">
      <c r="A11" s="35" t="s">
        <v>605</v>
      </c>
      <c r="B11" s="39"/>
    </row>
    <row r="12" spans="1:16" s="40" customFormat="1" x14ac:dyDescent="0.2">
      <c r="A12" s="41" t="s">
        <v>332</v>
      </c>
      <c r="B12" s="39"/>
      <c r="C12" s="78">
        <v>2261</v>
      </c>
      <c r="E12" s="78">
        <v>2344</v>
      </c>
      <c r="G12" s="77"/>
      <c r="I12" s="78">
        <v>2466</v>
      </c>
      <c r="K12" s="78"/>
      <c r="M12" s="76"/>
    </row>
    <row r="13" spans="1:16" s="40" customFormat="1" x14ac:dyDescent="0.2">
      <c r="A13" s="41" t="s">
        <v>256</v>
      </c>
      <c r="B13" s="39"/>
      <c r="C13" s="391">
        <v>0.29699999999999999</v>
      </c>
      <c r="E13" s="391">
        <v>0.30099999999999999</v>
      </c>
      <c r="G13" s="101"/>
      <c r="I13" s="391">
        <v>0.316</v>
      </c>
      <c r="K13" s="391"/>
      <c r="M13" s="100"/>
    </row>
    <row r="14" spans="1:16" s="40" customFormat="1" x14ac:dyDescent="0.2">
      <c r="A14" s="41" t="s">
        <v>257</v>
      </c>
      <c r="B14" s="39"/>
      <c r="C14" s="159">
        <v>1234</v>
      </c>
      <c r="E14" s="159">
        <v>1229</v>
      </c>
      <c r="G14" s="77"/>
      <c r="I14" s="159">
        <v>1300</v>
      </c>
      <c r="K14" s="159"/>
      <c r="M14" s="76"/>
    </row>
    <row r="15" spans="1:16" s="40" customFormat="1" x14ac:dyDescent="0.2">
      <c r="A15" s="41" t="s">
        <v>258</v>
      </c>
      <c r="B15" s="39"/>
      <c r="C15" s="391">
        <v>0.16200000000000001</v>
      </c>
      <c r="E15" s="391">
        <v>0.158</v>
      </c>
      <c r="G15" s="101"/>
      <c r="I15" s="391">
        <v>0.16700000000000001</v>
      </c>
      <c r="K15" s="391"/>
      <c r="M15" s="100"/>
    </row>
    <row r="16" spans="1:16" s="40" customFormat="1" x14ac:dyDescent="0.2">
      <c r="A16" s="41" t="s">
        <v>259</v>
      </c>
      <c r="B16" s="39"/>
      <c r="C16" s="392">
        <v>3495</v>
      </c>
      <c r="E16" s="392">
        <v>3573</v>
      </c>
      <c r="G16" s="77"/>
      <c r="I16" s="392">
        <f>I12+I14</f>
        <v>3766</v>
      </c>
      <c r="K16" s="392"/>
      <c r="M16" s="393"/>
    </row>
    <row r="17" spans="1:17" s="40" customFormat="1" x14ac:dyDescent="0.2">
      <c r="A17" s="41" t="s">
        <v>260</v>
      </c>
      <c r="B17" s="39"/>
      <c r="C17" s="394">
        <v>0.45900000000000002</v>
      </c>
      <c r="E17" s="394">
        <v>0.45900000000000002</v>
      </c>
      <c r="G17" s="101"/>
      <c r="I17" s="394">
        <v>0.48299999999999998</v>
      </c>
      <c r="K17" s="394"/>
      <c r="M17" s="100"/>
    </row>
    <row r="18" spans="1:17" s="37" customFormat="1" x14ac:dyDescent="0.2">
      <c r="A18" s="35" t="s">
        <v>211</v>
      </c>
      <c r="B18" s="36"/>
      <c r="C18" s="141"/>
      <c r="E18" s="141"/>
      <c r="I18" s="141"/>
      <c r="K18" s="141"/>
      <c r="M18" s="87"/>
    </row>
    <row r="19" spans="1:17" s="37" customFormat="1" x14ac:dyDescent="0.2">
      <c r="A19" s="35" t="s">
        <v>195</v>
      </c>
      <c r="B19" s="36"/>
      <c r="M19" s="87"/>
    </row>
    <row r="20" spans="1:17" s="40" customFormat="1" x14ac:dyDescent="0.2">
      <c r="A20" s="38" t="s">
        <v>196</v>
      </c>
      <c r="B20" s="39"/>
      <c r="C20" s="63"/>
      <c r="D20" s="63"/>
      <c r="E20" s="63"/>
      <c r="I20" s="63"/>
      <c r="K20" s="63"/>
      <c r="M20" s="63"/>
    </row>
    <row r="21" spans="1:17" s="40" customFormat="1" x14ac:dyDescent="0.2">
      <c r="A21" s="41" t="s">
        <v>197</v>
      </c>
      <c r="B21" s="39"/>
      <c r="C21" s="76">
        <v>131</v>
      </c>
      <c r="D21" s="63"/>
      <c r="E21" s="76">
        <v>140</v>
      </c>
      <c r="G21" s="77">
        <v>140</v>
      </c>
      <c r="I21" s="76">
        <v>137</v>
      </c>
      <c r="K21" s="76">
        <v>137</v>
      </c>
      <c r="M21" s="76"/>
    </row>
    <row r="22" spans="1:17" s="40" customFormat="1" x14ac:dyDescent="0.2">
      <c r="A22" s="41" t="s">
        <v>261</v>
      </c>
      <c r="B22" s="39"/>
      <c r="C22" s="76">
        <v>10</v>
      </c>
      <c r="D22" s="63"/>
      <c r="E22" s="76">
        <v>11</v>
      </c>
      <c r="G22" s="77">
        <v>11</v>
      </c>
      <c r="I22" s="76">
        <v>9</v>
      </c>
      <c r="K22" s="76">
        <v>9</v>
      </c>
      <c r="M22" s="76"/>
    </row>
    <row r="23" spans="1:17" s="40" customFormat="1" x14ac:dyDescent="0.2">
      <c r="A23" s="41" t="s">
        <v>262</v>
      </c>
      <c r="B23" s="39"/>
      <c r="C23" s="76">
        <v>2</v>
      </c>
      <c r="D23" s="63"/>
      <c r="E23" s="76">
        <v>2</v>
      </c>
      <c r="G23" s="77">
        <v>2</v>
      </c>
      <c r="I23" s="76">
        <v>1</v>
      </c>
      <c r="K23" s="76">
        <v>2</v>
      </c>
      <c r="M23" s="76"/>
    </row>
    <row r="24" spans="1:17" s="40" customFormat="1" x14ac:dyDescent="0.2">
      <c r="A24" s="41" t="s">
        <v>198</v>
      </c>
      <c r="B24" s="39"/>
      <c r="C24" s="76">
        <f>SUM(C21:C23)</f>
        <v>143</v>
      </c>
      <c r="D24" s="63"/>
      <c r="E24" s="76">
        <f>SUM(E21:E23)</f>
        <v>153</v>
      </c>
      <c r="G24" s="77">
        <f>SUM(G21:G23)</f>
        <v>153</v>
      </c>
      <c r="I24" s="76">
        <f>SUM(I21:I23)</f>
        <v>147</v>
      </c>
      <c r="K24" s="76">
        <f>SUM(K21:K23)</f>
        <v>148</v>
      </c>
      <c r="M24" s="76"/>
    </row>
    <row r="25" spans="1:17" s="40" customFormat="1" x14ac:dyDescent="0.2">
      <c r="A25" s="38" t="s">
        <v>199</v>
      </c>
      <c r="B25" s="39"/>
      <c r="C25" s="63"/>
      <c r="D25" s="63"/>
      <c r="E25" s="63"/>
      <c r="I25" s="63"/>
      <c r="K25" s="63"/>
      <c r="M25" s="65"/>
    </row>
    <row r="26" spans="1:17" s="40" customFormat="1" x14ac:dyDescent="0.2">
      <c r="A26" s="41" t="s">
        <v>263</v>
      </c>
      <c r="B26" s="39"/>
      <c r="C26" s="76">
        <v>143</v>
      </c>
      <c r="D26" s="63"/>
      <c r="E26" s="76">
        <v>153</v>
      </c>
      <c r="G26" s="77">
        <v>153</v>
      </c>
      <c r="I26" s="76">
        <v>147</v>
      </c>
      <c r="K26" s="76">
        <v>148</v>
      </c>
      <c r="M26" s="76"/>
    </row>
    <row r="27" spans="1:17" s="40" customFormat="1" x14ac:dyDescent="0.2">
      <c r="A27" s="41" t="s">
        <v>198</v>
      </c>
      <c r="B27" s="39"/>
      <c r="C27" s="76">
        <v>143</v>
      </c>
      <c r="D27" s="63"/>
      <c r="E27" s="76">
        <v>153</v>
      </c>
      <c r="G27" s="77">
        <v>153</v>
      </c>
      <c r="I27" s="76">
        <v>147</v>
      </c>
      <c r="K27" s="76">
        <f>K26</f>
        <v>148</v>
      </c>
      <c r="M27" s="76"/>
    </row>
    <row r="28" spans="1:17" s="48" customFormat="1" x14ac:dyDescent="0.2">
      <c r="A28" s="46"/>
      <c r="B28" s="47"/>
      <c r="M28" s="331"/>
    </row>
    <row r="29" spans="1:17" s="48" customFormat="1" x14ac:dyDescent="0.2">
      <c r="A29" s="49" t="s">
        <v>200</v>
      </c>
      <c r="B29" s="50"/>
      <c r="C29" s="51"/>
      <c r="D29" s="52"/>
      <c r="E29" s="53"/>
      <c r="F29" s="52"/>
      <c r="G29" s="53"/>
      <c r="H29" s="52"/>
      <c r="I29" s="53"/>
      <c r="J29" s="52"/>
      <c r="K29" s="53"/>
      <c r="L29" s="52"/>
      <c r="M29" s="51"/>
      <c r="N29" s="52"/>
    </row>
    <row r="30" spans="1:17" ht="27.75" customHeight="1" x14ac:dyDescent="0.2">
      <c r="A30" s="1738" t="s">
        <v>524</v>
      </c>
      <c r="B30" s="1736"/>
      <c r="C30" s="1737"/>
      <c r="D30" s="1736"/>
      <c r="E30" s="1737"/>
      <c r="F30" s="1736"/>
      <c r="G30" s="1737"/>
      <c r="H30" s="1736"/>
      <c r="I30" s="1737"/>
      <c r="J30" s="1736"/>
      <c r="K30" s="1737"/>
      <c r="L30" s="1736"/>
      <c r="M30" s="1737"/>
      <c r="N30" s="1736"/>
      <c r="O30" s="54"/>
      <c r="P30" s="54"/>
      <c r="Q30" s="951"/>
    </row>
    <row r="31" spans="1:17" ht="16.5" customHeight="1" x14ac:dyDescent="0.2">
      <c r="A31" s="1755" t="s">
        <v>606</v>
      </c>
      <c r="B31" s="1736"/>
      <c r="C31" s="1737"/>
      <c r="D31" s="1736"/>
      <c r="E31" s="1737"/>
      <c r="F31" s="1736"/>
      <c r="G31" s="1737"/>
      <c r="H31" s="1736"/>
      <c r="I31" s="1737"/>
      <c r="J31" s="1736"/>
      <c r="K31" s="1737"/>
      <c r="L31" s="1736"/>
      <c r="M31" s="1737"/>
      <c r="N31" s="1736"/>
      <c r="O31" s="54"/>
      <c r="P31" s="54"/>
    </row>
    <row r="32" spans="1:17" ht="27.75" customHeight="1" x14ac:dyDescent="0.2">
      <c r="A32" s="1738"/>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ht="27.75" customHeight="1" x14ac:dyDescent="0.2">
      <c r="A37" s="1735"/>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ht="27.75" customHeight="1" x14ac:dyDescent="0.2">
      <c r="A39" s="1735"/>
      <c r="B39" s="1736"/>
      <c r="C39" s="1737"/>
      <c r="D39" s="1736"/>
      <c r="E39" s="1737"/>
      <c r="F39" s="1736"/>
      <c r="G39" s="1737"/>
      <c r="H39" s="1736"/>
      <c r="I39" s="1737"/>
      <c r="J39" s="1736"/>
      <c r="K39" s="1737"/>
      <c r="L39" s="1736"/>
      <c r="M39" s="1737"/>
      <c r="N39" s="1736"/>
      <c r="O39" s="54"/>
      <c r="P39" s="54"/>
    </row>
    <row r="40" spans="1:17" x14ac:dyDescent="0.2">
      <c r="A40" s="55"/>
      <c r="B40" s="54"/>
      <c r="C40" s="56"/>
      <c r="D40" s="54"/>
      <c r="E40" s="56"/>
      <c r="F40" s="54"/>
      <c r="G40" s="56"/>
      <c r="H40" s="54"/>
      <c r="I40" s="56"/>
      <c r="J40" s="54"/>
      <c r="K40" s="56"/>
      <c r="L40" s="54"/>
      <c r="M40" s="56"/>
      <c r="N40" s="54"/>
      <c r="O40" s="54"/>
      <c r="P40" s="54"/>
    </row>
    <row r="41" spans="1:17" x14ac:dyDescent="0.2">
      <c r="A41" s="55"/>
      <c r="B41" s="54"/>
      <c r="C41" s="54"/>
      <c r="D41" s="54"/>
      <c r="E41" s="54"/>
      <c r="F41" s="54"/>
      <c r="G41" s="54"/>
      <c r="H41" s="54"/>
      <c r="I41" s="54"/>
      <c r="J41" s="54"/>
      <c r="K41" s="54"/>
      <c r="L41" s="54"/>
      <c r="M41" s="54"/>
      <c r="N41" s="54"/>
      <c r="O41" s="54"/>
      <c r="P41" s="54"/>
    </row>
    <row r="42" spans="1:17" x14ac:dyDescent="0.2">
      <c r="A42" s="55"/>
      <c r="B42" s="54"/>
      <c r="C42" s="56"/>
      <c r="D42" s="54"/>
      <c r="E42" s="56"/>
      <c r="F42" s="54"/>
      <c r="G42" s="56"/>
      <c r="H42" s="54"/>
      <c r="I42" s="56"/>
      <c r="J42" s="54"/>
      <c r="K42" s="56"/>
      <c r="L42" s="54"/>
      <c r="M42" s="56"/>
      <c r="N42" s="54"/>
      <c r="O42" s="54"/>
      <c r="P42" s="54"/>
    </row>
    <row r="43" spans="1:17" x14ac:dyDescent="0.2">
      <c r="A43" s="55"/>
      <c r="B43" s="54"/>
      <c r="C43" s="54"/>
      <c r="D43" s="54"/>
      <c r="E43" s="54"/>
      <c r="F43" s="54"/>
      <c r="G43" s="54"/>
      <c r="H43" s="54"/>
      <c r="I43" s="54"/>
      <c r="J43" s="54"/>
      <c r="K43" s="54"/>
      <c r="L43" s="54"/>
      <c r="M43" s="54"/>
      <c r="N43" s="54"/>
      <c r="O43" s="54"/>
      <c r="P43" s="54"/>
    </row>
    <row r="44" spans="1:17" x14ac:dyDescent="0.2">
      <c r="A44" s="55"/>
      <c r="B44" s="54"/>
      <c r="C44" s="56"/>
      <c r="D44" s="54"/>
      <c r="E44" s="56"/>
      <c r="F44" s="54"/>
      <c r="G44" s="56"/>
      <c r="H44" s="54"/>
      <c r="I44" s="56"/>
      <c r="J44" s="54"/>
      <c r="K44" s="56"/>
      <c r="L44" s="54"/>
      <c r="M44" s="56"/>
      <c r="N44" s="54"/>
      <c r="O44" s="54"/>
      <c r="P44" s="54"/>
    </row>
    <row r="45" spans="1:17" x14ac:dyDescent="0.2">
      <c r="A45" s="55"/>
      <c r="B45" s="54"/>
      <c r="C45" s="54"/>
      <c r="D45" s="54"/>
      <c r="E45" s="54"/>
      <c r="F45" s="54"/>
      <c r="G45" s="54"/>
      <c r="H45" s="54"/>
      <c r="I45" s="54"/>
      <c r="J45" s="54"/>
      <c r="K45" s="54"/>
      <c r="L45" s="54"/>
      <c r="M45" s="54"/>
      <c r="N45" s="54"/>
      <c r="O45" s="54"/>
      <c r="P45" s="54"/>
    </row>
    <row r="46" spans="1:17" x14ac:dyDescent="0.2">
      <c r="A46" s="55"/>
      <c r="B46" s="54"/>
      <c r="C46" s="54"/>
      <c r="D46" s="54"/>
      <c r="E46" s="54"/>
      <c r="F46" s="54"/>
      <c r="G46" s="54"/>
      <c r="H46" s="54"/>
      <c r="I46" s="54"/>
      <c r="J46" s="54"/>
      <c r="K46" s="54"/>
      <c r="L46" s="54"/>
      <c r="M46" s="54"/>
      <c r="N46" s="54"/>
      <c r="O46" s="54"/>
      <c r="P46" s="54"/>
    </row>
    <row r="47" spans="1:17" x14ac:dyDescent="0.2">
      <c r="A47" s="55"/>
      <c r="B47" s="54"/>
      <c r="C47" s="54"/>
      <c r="D47" s="54"/>
      <c r="E47" s="54"/>
      <c r="F47" s="54"/>
      <c r="G47" s="54"/>
      <c r="H47" s="54"/>
      <c r="I47" s="54"/>
      <c r="J47" s="54"/>
      <c r="K47" s="54"/>
      <c r="L47" s="54"/>
      <c r="M47" s="54"/>
      <c r="N47" s="54"/>
      <c r="O47" s="54"/>
      <c r="P47" s="54"/>
      <c r="Q47" s="57"/>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sheetData>
  <mergeCells count="11">
    <mergeCell ref="A36:N36"/>
    <mergeCell ref="A37:N37"/>
    <mergeCell ref="A38:N38"/>
    <mergeCell ref="A39:N39"/>
    <mergeCell ref="K2:K3"/>
    <mergeCell ref="A30:N30"/>
    <mergeCell ref="A31:N31"/>
    <mergeCell ref="A32:N32"/>
    <mergeCell ref="A33:N33"/>
    <mergeCell ref="A34:N34"/>
    <mergeCell ref="A35:N35"/>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3">
    <pageSetUpPr fitToPage="1"/>
  </sheetPr>
  <dimension ref="A1:Q12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9" style="26" customWidth="1"/>
    <col min="3" max="3" width="13.7109375" style="61" customWidth="1"/>
    <col min="4" max="4" width="3.140625" style="61" bestFit="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607</v>
      </c>
      <c r="C3" s="10" t="s">
        <v>608</v>
      </c>
      <c r="D3" s="6"/>
      <c r="E3" s="11"/>
      <c r="F3" s="9"/>
      <c r="G3" s="11"/>
      <c r="H3" s="6"/>
      <c r="I3" s="11"/>
      <c r="J3" s="6"/>
      <c r="K3" s="1734"/>
      <c r="L3" s="6"/>
      <c r="M3" s="11"/>
      <c r="N3" s="6"/>
    </row>
    <row r="4" spans="1:16" s="4" customFormat="1" ht="15.75" x14ac:dyDescent="0.25">
      <c r="A4" s="1" t="s">
        <v>180</v>
      </c>
      <c r="B4" s="10" t="s">
        <v>609</v>
      </c>
      <c r="C4" s="10" t="s">
        <v>11</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610</v>
      </c>
      <c r="B11" s="36"/>
      <c r="C11" s="87"/>
      <c r="D11" s="87"/>
      <c r="E11" s="87"/>
      <c r="F11" s="87"/>
      <c r="G11" s="87"/>
      <c r="I11" s="87"/>
    </row>
    <row r="12" spans="1:16" s="40" customFormat="1" x14ac:dyDescent="0.2">
      <c r="A12" s="41" t="s">
        <v>611</v>
      </c>
      <c r="B12" s="39"/>
      <c r="C12" s="392">
        <v>1410379</v>
      </c>
      <c r="D12" s="63"/>
      <c r="E12" s="392">
        <v>1407384</v>
      </c>
      <c r="F12" s="63"/>
      <c r="G12" s="76">
        <v>1405977</v>
      </c>
      <c r="I12" s="76">
        <v>1394633</v>
      </c>
      <c r="K12" s="76">
        <v>1387763</v>
      </c>
      <c r="M12" s="77"/>
    </row>
    <row r="13" spans="1:16" s="40" customFormat="1" x14ac:dyDescent="0.2">
      <c r="A13" s="41" t="s">
        <v>612</v>
      </c>
      <c r="B13" s="39"/>
      <c r="C13" s="395" t="s">
        <v>352</v>
      </c>
      <c r="D13" s="63"/>
      <c r="E13" s="76"/>
      <c r="F13" s="63"/>
      <c r="G13" s="76"/>
      <c r="I13" s="76"/>
      <c r="K13" s="76"/>
      <c r="M13" s="77"/>
    </row>
    <row r="14" spans="1:16" s="40" customFormat="1" x14ac:dyDescent="0.2">
      <c r="A14" s="41" t="s">
        <v>613</v>
      </c>
      <c r="B14" s="39"/>
      <c r="C14" s="396">
        <v>20459</v>
      </c>
      <c r="D14" s="63"/>
      <c r="E14" s="396">
        <v>21131</v>
      </c>
      <c r="F14" s="63"/>
      <c r="G14" s="97">
        <v>21714</v>
      </c>
      <c r="I14" s="97">
        <v>21411</v>
      </c>
      <c r="K14" s="97">
        <v>22439</v>
      </c>
      <c r="M14" s="98"/>
    </row>
    <row r="15" spans="1:16" s="40" customFormat="1" x14ac:dyDescent="0.2">
      <c r="A15" s="90" t="s">
        <v>614</v>
      </c>
      <c r="B15" s="39"/>
      <c r="C15" s="396">
        <v>10902</v>
      </c>
      <c r="D15" s="63"/>
      <c r="E15" s="396">
        <v>11235</v>
      </c>
      <c r="F15" s="63"/>
      <c r="G15" s="97">
        <v>11336</v>
      </c>
      <c r="I15" s="97">
        <v>11477</v>
      </c>
      <c r="K15" s="97">
        <v>11765</v>
      </c>
      <c r="M15" s="98"/>
    </row>
    <row r="16" spans="1:16" s="40" customFormat="1" x14ac:dyDescent="0.2">
      <c r="A16" s="90" t="s">
        <v>10</v>
      </c>
      <c r="B16" s="39"/>
      <c r="C16" s="396">
        <v>8948</v>
      </c>
      <c r="D16" s="63"/>
      <c r="E16" s="396">
        <v>9288</v>
      </c>
      <c r="F16" s="63"/>
      <c r="G16" s="97">
        <v>9743</v>
      </c>
      <c r="I16" s="97">
        <v>9382</v>
      </c>
      <c r="K16" s="97">
        <v>10119</v>
      </c>
      <c r="M16" s="98"/>
    </row>
    <row r="17" spans="1:15" s="40" customFormat="1" x14ac:dyDescent="0.2">
      <c r="A17" s="90" t="s">
        <v>261</v>
      </c>
      <c r="B17" s="39"/>
      <c r="C17" s="396">
        <v>609</v>
      </c>
      <c r="D17" s="63"/>
      <c r="E17" s="396">
        <v>608</v>
      </c>
      <c r="F17" s="63"/>
      <c r="G17" s="97">
        <v>635</v>
      </c>
      <c r="I17" s="97">
        <v>552</v>
      </c>
      <c r="K17" s="97">
        <v>555</v>
      </c>
      <c r="M17" s="98"/>
    </row>
    <row r="18" spans="1:15" s="40" customFormat="1" x14ac:dyDescent="0.2">
      <c r="A18" s="41" t="s">
        <v>615</v>
      </c>
      <c r="B18" s="39"/>
      <c r="C18" s="63"/>
      <c r="D18" s="63"/>
      <c r="E18" s="63"/>
      <c r="F18" s="63"/>
      <c r="G18" s="63"/>
      <c r="I18" s="63"/>
      <c r="K18" s="63"/>
      <c r="M18" s="37"/>
      <c r="N18" s="37"/>
      <c r="O18" s="37"/>
    </row>
    <row r="19" spans="1:15" s="83" customFormat="1" x14ac:dyDescent="0.2">
      <c r="A19" s="90" t="s">
        <v>614</v>
      </c>
      <c r="B19" s="397"/>
      <c r="C19" s="398">
        <f>C15/$C$14</f>
        <v>0.53287061928735524</v>
      </c>
      <c r="D19" s="399"/>
      <c r="E19" s="398">
        <v>0.53100000000000003</v>
      </c>
      <c r="F19" s="399"/>
      <c r="G19" s="398">
        <v>0.52200000000000002</v>
      </c>
      <c r="I19" s="398">
        <v>0.53600000000000003</v>
      </c>
      <c r="K19" s="400">
        <v>0.52400000000000002</v>
      </c>
      <c r="M19" s="101"/>
      <c r="O19" s="401"/>
    </row>
    <row r="20" spans="1:15" s="40" customFormat="1" x14ac:dyDescent="0.2">
      <c r="A20" s="90" t="s">
        <v>10</v>
      </c>
      <c r="B20" s="39"/>
      <c r="C20" s="398">
        <f>C16/$C$14</f>
        <v>0.43736252993792463</v>
      </c>
      <c r="D20" s="63"/>
      <c r="E20" s="398">
        <v>0.44</v>
      </c>
      <c r="F20" s="63"/>
      <c r="G20" s="398">
        <v>0.44900000000000001</v>
      </c>
      <c r="I20" s="398">
        <v>0.438</v>
      </c>
      <c r="K20" s="100">
        <v>0.45100000000000001</v>
      </c>
      <c r="M20" s="101"/>
      <c r="O20" s="152"/>
    </row>
    <row r="21" spans="1:15" s="40" customFormat="1" x14ac:dyDescent="0.2">
      <c r="A21" s="90" t="s">
        <v>261</v>
      </c>
      <c r="B21" s="39"/>
      <c r="C21" s="398">
        <f>C17/$C$14</f>
        <v>2.9766850774720171E-2</v>
      </c>
      <c r="D21" s="63"/>
      <c r="E21" s="398">
        <v>2.9000000000000001E-2</v>
      </c>
      <c r="F21" s="63"/>
      <c r="G21" s="398">
        <f>G17/$G$14</f>
        <v>2.9243805839550521E-2</v>
      </c>
      <c r="I21" s="398">
        <v>2.5999999999999999E-2</v>
      </c>
      <c r="K21" s="100">
        <v>2.5000000000000001E-2</v>
      </c>
      <c r="M21" s="101"/>
      <c r="O21" s="152"/>
    </row>
    <row r="22" spans="1:15" s="40" customFormat="1" x14ac:dyDescent="0.2">
      <c r="A22" s="41" t="s">
        <v>616</v>
      </c>
      <c r="B22" s="39"/>
      <c r="C22" s="104"/>
      <c r="D22" s="63"/>
      <c r="E22" s="63"/>
      <c r="F22" s="63"/>
      <c r="G22" s="63"/>
      <c r="I22" s="63"/>
      <c r="K22" s="63"/>
      <c r="M22" s="65"/>
      <c r="N22" s="65"/>
      <c r="O22" s="152"/>
    </row>
    <row r="23" spans="1:15" s="40" customFormat="1" x14ac:dyDescent="0.2">
      <c r="A23" s="90" t="s">
        <v>617</v>
      </c>
      <c r="B23" s="39"/>
      <c r="C23" s="392">
        <f>SUM(C24:C31)</f>
        <v>1415468</v>
      </c>
      <c r="D23" s="63"/>
      <c r="E23" s="393">
        <f>SUM(E24:E31)</f>
        <v>1410379</v>
      </c>
      <c r="F23" s="63"/>
      <c r="G23" s="76">
        <v>1407384</v>
      </c>
      <c r="I23" s="76">
        <v>1407384</v>
      </c>
      <c r="K23" s="76">
        <v>1394633</v>
      </c>
      <c r="M23" s="262"/>
    </row>
    <row r="24" spans="1:15" s="40" customFormat="1" x14ac:dyDescent="0.2">
      <c r="A24" s="90" t="s">
        <v>618</v>
      </c>
      <c r="B24" s="39"/>
      <c r="C24" s="392">
        <v>144965</v>
      </c>
      <c r="D24" s="63"/>
      <c r="E24" s="76">
        <v>142686</v>
      </c>
      <c r="F24" s="63"/>
      <c r="G24" s="76">
        <v>140553</v>
      </c>
      <c r="I24" s="76">
        <v>140553</v>
      </c>
      <c r="K24" s="76">
        <v>139633</v>
      </c>
      <c r="M24" s="77"/>
    </row>
    <row r="25" spans="1:15" s="40" customFormat="1" x14ac:dyDescent="0.2">
      <c r="A25" s="90" t="s">
        <v>619</v>
      </c>
      <c r="B25" s="39"/>
      <c r="C25" s="392">
        <v>453631</v>
      </c>
      <c r="D25" s="63"/>
      <c r="E25" s="76">
        <v>449960</v>
      </c>
      <c r="F25" s="63"/>
      <c r="G25" s="76">
        <v>447830</v>
      </c>
      <c r="I25" s="76">
        <v>447830</v>
      </c>
      <c r="K25" s="76">
        <v>433555</v>
      </c>
      <c r="M25" s="77"/>
    </row>
    <row r="26" spans="1:15" s="40" customFormat="1" x14ac:dyDescent="0.2">
      <c r="A26" s="90" t="s">
        <v>620</v>
      </c>
      <c r="B26" s="39"/>
      <c r="C26" s="392">
        <v>259959</v>
      </c>
      <c r="D26" s="63"/>
      <c r="E26" s="76">
        <v>259032</v>
      </c>
      <c r="F26" s="63"/>
      <c r="G26" s="76">
        <v>259375</v>
      </c>
      <c r="I26" s="76">
        <v>259375</v>
      </c>
      <c r="K26" s="76">
        <v>260176</v>
      </c>
      <c r="M26" s="77"/>
    </row>
    <row r="27" spans="1:15" s="40" customFormat="1" x14ac:dyDescent="0.2">
      <c r="A27" s="90" t="s">
        <v>621</v>
      </c>
      <c r="B27" s="39"/>
      <c r="C27" s="392">
        <v>325143</v>
      </c>
      <c r="D27" s="63"/>
      <c r="E27" s="76">
        <v>323490</v>
      </c>
      <c r="F27" s="63"/>
      <c r="G27" s="76">
        <v>322429</v>
      </c>
      <c r="I27" s="76">
        <v>322429</v>
      </c>
      <c r="K27" s="76">
        <v>322429</v>
      </c>
      <c r="M27" s="77"/>
    </row>
    <row r="28" spans="1:15" s="40" customFormat="1" x14ac:dyDescent="0.2">
      <c r="A28" s="90" t="s">
        <v>622</v>
      </c>
      <c r="B28" s="39"/>
      <c r="C28" s="392">
        <v>1604</v>
      </c>
      <c r="D28" s="63"/>
      <c r="E28" s="76">
        <v>1794</v>
      </c>
      <c r="F28" s="63"/>
      <c r="G28" s="76">
        <v>1460</v>
      </c>
      <c r="I28" s="76">
        <v>1460</v>
      </c>
      <c r="K28" s="76">
        <v>954</v>
      </c>
      <c r="M28" s="77"/>
    </row>
    <row r="29" spans="1:15" s="40" customFormat="1" x14ac:dyDescent="0.2">
      <c r="A29" s="90" t="s">
        <v>623</v>
      </c>
      <c r="B29" s="39"/>
      <c r="C29" s="392">
        <v>202549</v>
      </c>
      <c r="D29" s="63"/>
      <c r="E29" s="76">
        <v>204473</v>
      </c>
      <c r="F29" s="63"/>
      <c r="G29" s="76">
        <v>206194</v>
      </c>
      <c r="I29" s="76">
        <v>206194</v>
      </c>
      <c r="K29" s="76">
        <v>207398</v>
      </c>
      <c r="M29" s="77"/>
    </row>
    <row r="30" spans="1:15" s="40" customFormat="1" x14ac:dyDescent="0.2">
      <c r="A30" s="90" t="s">
        <v>624</v>
      </c>
      <c r="B30" s="39"/>
      <c r="C30" s="392">
        <v>26402</v>
      </c>
      <c r="D30" s="63"/>
      <c r="E30" s="76">
        <v>27904</v>
      </c>
      <c r="F30" s="63"/>
      <c r="G30" s="76">
        <v>28609</v>
      </c>
      <c r="I30" s="76">
        <v>28609</v>
      </c>
      <c r="K30" s="76">
        <v>29513</v>
      </c>
      <c r="M30" s="77"/>
    </row>
    <row r="31" spans="1:15" s="40" customFormat="1" x14ac:dyDescent="0.2">
      <c r="A31" s="90" t="s">
        <v>625</v>
      </c>
      <c r="B31" s="39"/>
      <c r="C31" s="392">
        <v>1215</v>
      </c>
      <c r="D31" s="63"/>
      <c r="E31" s="76">
        <v>1040</v>
      </c>
      <c r="F31" s="63"/>
      <c r="G31" s="76">
        <v>934</v>
      </c>
      <c r="I31" s="76">
        <v>934</v>
      </c>
      <c r="K31" s="76">
        <v>975</v>
      </c>
      <c r="M31" s="77"/>
    </row>
    <row r="32" spans="1:15" s="40" customFormat="1" x14ac:dyDescent="0.2">
      <c r="A32" s="90" t="s">
        <v>211</v>
      </c>
      <c r="B32" s="39"/>
      <c r="C32" s="111"/>
      <c r="D32" s="63"/>
      <c r="E32" s="63"/>
      <c r="F32" s="63"/>
      <c r="G32" s="63"/>
      <c r="I32" s="63"/>
      <c r="K32" s="63"/>
      <c r="M32" s="65"/>
      <c r="N32" s="65"/>
    </row>
    <row r="33" spans="1:13" s="37" customFormat="1" x14ac:dyDescent="0.2">
      <c r="A33" s="35" t="s">
        <v>626</v>
      </c>
      <c r="B33" s="36"/>
      <c r="C33" s="402"/>
      <c r="D33" s="87"/>
      <c r="E33" s="87"/>
      <c r="F33" s="87"/>
      <c r="G33" s="87"/>
      <c r="I33" s="87"/>
      <c r="K33" s="87"/>
    </row>
    <row r="34" spans="1:13" s="40" customFormat="1" x14ac:dyDescent="0.2">
      <c r="A34" s="41" t="s">
        <v>627</v>
      </c>
      <c r="B34" s="39"/>
      <c r="C34" s="392">
        <v>144336</v>
      </c>
      <c r="D34" s="63"/>
      <c r="E34" s="392">
        <v>142946</v>
      </c>
      <c r="F34" s="63"/>
      <c r="G34" s="76">
        <v>142946</v>
      </c>
      <c r="I34" s="76">
        <v>141160</v>
      </c>
      <c r="K34" s="76">
        <v>141160</v>
      </c>
      <c r="M34" s="77"/>
    </row>
    <row r="35" spans="1:13" s="40" customFormat="1" x14ac:dyDescent="0.2">
      <c r="A35" s="41" t="s">
        <v>628</v>
      </c>
      <c r="B35" s="39"/>
      <c r="C35" s="392">
        <v>36679</v>
      </c>
      <c r="D35" s="63"/>
      <c r="E35" s="392">
        <v>34468</v>
      </c>
      <c r="F35" s="63"/>
      <c r="G35" s="76">
        <v>34468</v>
      </c>
      <c r="I35" s="76">
        <v>35310</v>
      </c>
      <c r="K35" s="76">
        <v>35310</v>
      </c>
      <c r="M35" s="77"/>
    </row>
    <row r="36" spans="1:13" s="40" customFormat="1" x14ac:dyDescent="0.2">
      <c r="A36" s="41" t="s">
        <v>629</v>
      </c>
      <c r="B36" s="39"/>
      <c r="C36" s="392">
        <v>35599</v>
      </c>
      <c r="D36" s="76"/>
      <c r="E36" s="392">
        <v>34698</v>
      </c>
      <c r="F36" s="76"/>
      <c r="G36" s="76">
        <v>34698</v>
      </c>
      <c r="I36" s="76">
        <v>34777</v>
      </c>
      <c r="K36" s="76">
        <v>34777</v>
      </c>
      <c r="M36" s="77"/>
    </row>
    <row r="37" spans="1:13" s="40" customFormat="1" x14ac:dyDescent="0.2">
      <c r="A37" s="41" t="s">
        <v>630</v>
      </c>
      <c r="B37" s="39"/>
      <c r="C37" s="392">
        <v>150407</v>
      </c>
      <c r="D37" s="63"/>
      <c r="E37" s="392">
        <v>149587</v>
      </c>
      <c r="F37" s="63"/>
      <c r="G37" s="76">
        <v>149587</v>
      </c>
      <c r="I37" s="76">
        <v>147605</v>
      </c>
      <c r="K37" s="76">
        <v>147605</v>
      </c>
      <c r="M37" s="77"/>
    </row>
    <row r="38" spans="1:13" s="40" customFormat="1" x14ac:dyDescent="0.2">
      <c r="A38" s="41" t="s">
        <v>3047</v>
      </c>
      <c r="B38" s="39"/>
      <c r="C38" s="392">
        <v>151522</v>
      </c>
      <c r="D38" s="63"/>
      <c r="E38" s="392">
        <v>149746</v>
      </c>
      <c r="F38" s="63"/>
      <c r="G38" s="76"/>
      <c r="I38" s="76">
        <v>148532</v>
      </c>
      <c r="K38" s="76">
        <v>148532</v>
      </c>
      <c r="M38" s="77"/>
    </row>
    <row r="39" spans="1:13" s="40" customFormat="1" x14ac:dyDescent="0.2">
      <c r="A39" s="90" t="s">
        <v>211</v>
      </c>
      <c r="B39" s="39"/>
      <c r="C39" s="63"/>
      <c r="D39" s="63"/>
      <c r="E39" s="63"/>
      <c r="F39" s="63"/>
      <c r="G39" s="63"/>
      <c r="I39" s="63"/>
    </row>
    <row r="40" spans="1:13" s="37" customFormat="1" x14ac:dyDescent="0.2">
      <c r="A40" s="35" t="s">
        <v>631</v>
      </c>
      <c r="B40" s="36"/>
      <c r="C40" s="87"/>
      <c r="D40" s="87"/>
      <c r="E40" s="87"/>
      <c r="F40" s="87"/>
      <c r="G40" s="87"/>
      <c r="I40" s="87"/>
      <c r="M40" s="403"/>
    </row>
    <row r="41" spans="1:13" s="40" customFormat="1" x14ac:dyDescent="0.2">
      <c r="A41" s="41" t="s">
        <v>632</v>
      </c>
      <c r="B41" s="39"/>
      <c r="C41" s="63"/>
      <c r="D41" s="63"/>
      <c r="E41" s="63"/>
      <c r="F41" s="63"/>
      <c r="G41" s="63"/>
      <c r="I41" s="63"/>
    </row>
    <row r="42" spans="1:13" s="40" customFormat="1" x14ac:dyDescent="0.2">
      <c r="A42" s="90" t="s">
        <v>633</v>
      </c>
      <c r="B42" s="39"/>
      <c r="C42" s="392">
        <f>C29-C44-C43</f>
        <v>196756</v>
      </c>
      <c r="D42" s="63"/>
      <c r="E42" s="392">
        <f>E29-E43-E44</f>
        <v>198903</v>
      </c>
      <c r="F42" s="63"/>
      <c r="G42" s="76">
        <v>200801</v>
      </c>
      <c r="I42" s="76">
        <v>200801</v>
      </c>
      <c r="K42" s="76">
        <v>202121</v>
      </c>
      <c r="M42" s="77"/>
    </row>
    <row r="43" spans="1:13" s="40" customFormat="1" x14ac:dyDescent="0.2">
      <c r="A43" s="90" t="s">
        <v>634</v>
      </c>
      <c r="B43" s="39"/>
      <c r="C43" s="392">
        <v>640</v>
      </c>
      <c r="D43" s="76"/>
      <c r="E43" s="392">
        <v>605</v>
      </c>
      <c r="F43" s="76"/>
      <c r="G43" s="76">
        <v>591</v>
      </c>
      <c r="H43" s="77"/>
      <c r="I43" s="76">
        <v>591</v>
      </c>
      <c r="J43" s="77"/>
      <c r="K43" s="76">
        <v>566</v>
      </c>
      <c r="M43" s="77"/>
    </row>
    <row r="44" spans="1:13" s="40" customFormat="1" x14ac:dyDescent="0.2">
      <c r="A44" s="90" t="s">
        <v>635</v>
      </c>
      <c r="B44" s="39"/>
      <c r="C44" s="392">
        <v>5153</v>
      </c>
      <c r="D44" s="76"/>
      <c r="E44" s="392">
        <v>4965</v>
      </c>
      <c r="F44" s="76"/>
      <c r="G44" s="76">
        <v>4802</v>
      </c>
      <c r="H44" s="77"/>
      <c r="I44" s="76">
        <v>4802</v>
      </c>
      <c r="J44" s="77"/>
      <c r="K44" s="76">
        <v>4711</v>
      </c>
      <c r="M44" s="77"/>
    </row>
    <row r="45" spans="1:13" s="40" customFormat="1" x14ac:dyDescent="0.2">
      <c r="A45" s="90"/>
      <c r="B45" s="39"/>
      <c r="C45" s="63"/>
      <c r="D45" s="63"/>
      <c r="E45" s="63"/>
      <c r="F45" s="63"/>
      <c r="G45" s="63"/>
      <c r="I45" s="63"/>
      <c r="M45" s="64"/>
    </row>
    <row r="46" spans="1:13" s="37" customFormat="1" x14ac:dyDescent="0.2">
      <c r="A46" s="35" t="s">
        <v>194</v>
      </c>
      <c r="B46" s="36"/>
      <c r="C46" s="87"/>
      <c r="D46" s="87"/>
      <c r="E46" s="87"/>
      <c r="F46" s="87"/>
      <c r="G46" s="87"/>
      <c r="I46" s="87"/>
    </row>
    <row r="47" spans="1:13" s="37" customFormat="1" x14ac:dyDescent="0.2">
      <c r="A47" s="35" t="s">
        <v>195</v>
      </c>
      <c r="B47" s="36"/>
      <c r="C47" s="87"/>
      <c r="D47" s="87"/>
      <c r="E47" s="87"/>
      <c r="F47" s="87"/>
      <c r="G47" s="87"/>
      <c r="I47" s="87"/>
    </row>
    <row r="48" spans="1:13" s="40" customFormat="1" x14ac:dyDescent="0.2">
      <c r="A48" s="38" t="s">
        <v>196</v>
      </c>
      <c r="B48" s="39"/>
      <c r="C48" s="63"/>
      <c r="D48" s="63"/>
      <c r="E48" s="63"/>
      <c r="F48" s="63"/>
      <c r="G48" s="63"/>
      <c r="I48" s="63"/>
    </row>
    <row r="49" spans="1:16" s="40" customFormat="1" x14ac:dyDescent="0.2">
      <c r="A49" s="144" t="s">
        <v>197</v>
      </c>
      <c r="B49" s="39"/>
      <c r="C49" s="71">
        <v>50</v>
      </c>
      <c r="D49" s="63"/>
      <c r="E49" s="71">
        <v>49</v>
      </c>
      <c r="F49" s="63"/>
      <c r="G49" s="71">
        <v>50</v>
      </c>
      <c r="I49" s="71">
        <v>47</v>
      </c>
      <c r="K49" s="71">
        <v>45</v>
      </c>
      <c r="M49" s="70"/>
    </row>
    <row r="50" spans="1:16" s="40" customFormat="1" ht="14.25" x14ac:dyDescent="0.2">
      <c r="A50" s="41" t="s">
        <v>636</v>
      </c>
      <c r="B50" s="39"/>
      <c r="C50" s="71">
        <v>69</v>
      </c>
      <c r="D50" s="63"/>
      <c r="E50" s="71">
        <v>70</v>
      </c>
      <c r="F50" s="63"/>
      <c r="G50" s="71">
        <v>83</v>
      </c>
      <c r="I50" s="71">
        <v>75</v>
      </c>
      <c r="K50" s="71">
        <v>75</v>
      </c>
      <c r="M50" s="70"/>
    </row>
    <row r="51" spans="1:16" s="40" customFormat="1" x14ac:dyDescent="0.2">
      <c r="A51" s="38" t="s">
        <v>198</v>
      </c>
      <c r="B51" s="39"/>
      <c r="C51" s="76">
        <f>SUM(C49:C50)</f>
        <v>119</v>
      </c>
      <c r="D51" s="63"/>
      <c r="E51" s="76">
        <f>SUM(E49:E50)</f>
        <v>119</v>
      </c>
      <c r="F51" s="63"/>
      <c r="G51" s="76">
        <f>SUM(G49:G50)</f>
        <v>133</v>
      </c>
      <c r="I51" s="76">
        <f>SUM(I49:I50)</f>
        <v>122</v>
      </c>
      <c r="K51" s="76">
        <f>SUM(K49:K50)</f>
        <v>120</v>
      </c>
      <c r="M51" s="77"/>
    </row>
    <row r="52" spans="1:16" s="40" customFormat="1" x14ac:dyDescent="0.2">
      <c r="A52" s="38" t="s">
        <v>199</v>
      </c>
      <c r="B52" s="39"/>
      <c r="C52" s="63"/>
      <c r="D52" s="63"/>
      <c r="E52" s="63"/>
      <c r="F52" s="63"/>
      <c r="G52" s="63"/>
      <c r="I52" s="63"/>
      <c r="K52" s="63"/>
    </row>
    <row r="53" spans="1:16" s="40" customFormat="1" x14ac:dyDescent="0.2">
      <c r="A53" s="41" t="s">
        <v>631</v>
      </c>
      <c r="B53" s="39"/>
      <c r="C53" s="76">
        <v>69</v>
      </c>
      <c r="D53" s="63"/>
      <c r="E53" s="76">
        <v>70</v>
      </c>
      <c r="F53" s="63"/>
      <c r="G53" s="76">
        <v>83</v>
      </c>
      <c r="I53" s="76">
        <v>75</v>
      </c>
      <c r="K53" s="76">
        <v>75</v>
      </c>
      <c r="M53" s="77"/>
    </row>
    <row r="54" spans="1:16" s="40" customFormat="1" x14ac:dyDescent="0.2">
      <c r="A54" s="144" t="s">
        <v>637</v>
      </c>
      <c r="B54" s="145"/>
      <c r="C54" s="71">
        <v>2</v>
      </c>
      <c r="D54" s="63"/>
      <c r="E54" s="71">
        <v>2</v>
      </c>
      <c r="F54" s="63"/>
      <c r="G54" s="71">
        <v>2</v>
      </c>
      <c r="I54" s="71">
        <v>2</v>
      </c>
      <c r="K54" s="71">
        <v>2</v>
      </c>
      <c r="M54" s="70"/>
    </row>
    <row r="55" spans="1:16" s="40" customFormat="1" x14ac:dyDescent="0.2">
      <c r="A55" s="144" t="s">
        <v>638</v>
      </c>
      <c r="B55" s="145"/>
      <c r="C55" s="71">
        <v>15</v>
      </c>
      <c r="D55" s="63"/>
      <c r="E55" s="71">
        <v>15</v>
      </c>
      <c r="F55" s="63"/>
      <c r="G55" s="71">
        <v>15</v>
      </c>
      <c r="I55" s="71">
        <v>12</v>
      </c>
      <c r="K55" s="71">
        <v>12</v>
      </c>
      <c r="M55" s="70"/>
    </row>
    <row r="56" spans="1:16" s="40" customFormat="1" x14ac:dyDescent="0.2">
      <c r="A56" s="144" t="s">
        <v>639</v>
      </c>
      <c r="B56" s="145"/>
      <c r="C56" s="76">
        <v>33</v>
      </c>
      <c r="D56" s="63"/>
      <c r="E56" s="76">
        <v>32</v>
      </c>
      <c r="F56" s="63"/>
      <c r="G56" s="76">
        <v>33</v>
      </c>
      <c r="I56" s="76">
        <v>33</v>
      </c>
      <c r="K56" s="76">
        <v>31</v>
      </c>
      <c r="M56" s="77"/>
    </row>
    <row r="57" spans="1:16" s="40" customFormat="1" x14ac:dyDescent="0.2">
      <c r="A57" s="38" t="s">
        <v>198</v>
      </c>
      <c r="B57" s="39"/>
      <c r="C57" s="76">
        <f>SUM(C53:C56)</f>
        <v>119</v>
      </c>
      <c r="D57" s="63"/>
      <c r="E57" s="76">
        <f>SUM(E53:E56)</f>
        <v>119</v>
      </c>
      <c r="F57" s="63"/>
      <c r="G57" s="76">
        <f>SUM(G53:G56)</f>
        <v>133</v>
      </c>
      <c r="I57" s="76">
        <f>SUM(I53:I56)</f>
        <v>122</v>
      </c>
      <c r="K57" s="76">
        <f>SUM(K53:K56)</f>
        <v>120</v>
      </c>
      <c r="M57" s="77"/>
    </row>
    <row r="58" spans="1:16" s="37" customFormat="1" x14ac:dyDescent="0.2">
      <c r="A58" s="35"/>
      <c r="B58" s="36"/>
      <c r="C58" s="87"/>
      <c r="D58" s="87"/>
      <c r="E58" s="87"/>
      <c r="F58" s="87"/>
      <c r="G58" s="87"/>
      <c r="I58" s="87"/>
    </row>
    <row r="59" spans="1:16" s="48" customFormat="1" x14ac:dyDescent="0.2">
      <c r="A59" s="46"/>
      <c r="B59" s="47"/>
      <c r="C59" s="331"/>
      <c r="D59" s="331"/>
      <c r="E59" s="331"/>
      <c r="F59" s="331"/>
      <c r="G59" s="331"/>
      <c r="I59" s="331"/>
    </row>
    <row r="60" spans="1:16" s="48" customFormat="1" x14ac:dyDescent="0.2">
      <c r="A60" s="49" t="s">
        <v>200</v>
      </c>
      <c r="B60" s="50"/>
      <c r="C60" s="51"/>
      <c r="D60" s="52"/>
      <c r="E60" s="53"/>
      <c r="F60" s="52"/>
      <c r="G60" s="53"/>
      <c r="H60" s="52"/>
      <c r="I60" s="53"/>
      <c r="J60" s="52"/>
      <c r="K60" s="53"/>
      <c r="L60" s="52"/>
      <c r="M60" s="51"/>
      <c r="N60" s="52"/>
    </row>
    <row r="61" spans="1:16" ht="29.25" customHeight="1" x14ac:dyDescent="0.2">
      <c r="A61" s="1738" t="s">
        <v>640</v>
      </c>
      <c r="B61" s="1736"/>
      <c r="C61" s="1737"/>
      <c r="D61" s="1736"/>
      <c r="E61" s="1737"/>
      <c r="F61" s="1736"/>
      <c r="G61" s="1737"/>
      <c r="H61" s="1736"/>
      <c r="I61" s="1737"/>
      <c r="J61" s="1736"/>
      <c r="K61" s="1737"/>
      <c r="L61" s="1736"/>
      <c r="M61" s="1737"/>
      <c r="N61" s="1736"/>
      <c r="O61" s="54"/>
      <c r="P61" s="54"/>
    </row>
    <row r="62" spans="1:16" s="372" customFormat="1" ht="17.25" customHeight="1" x14ac:dyDescent="0.2">
      <c r="A62" s="1752" t="s">
        <v>641</v>
      </c>
      <c r="B62" s="1752"/>
      <c r="C62" s="1752"/>
      <c r="D62" s="1752"/>
      <c r="E62" s="1752"/>
      <c r="F62" s="1752"/>
      <c r="G62" s="1752"/>
      <c r="H62" s="1752"/>
      <c r="I62" s="1752"/>
      <c r="J62" s="1752"/>
      <c r="K62" s="1752"/>
      <c r="L62" s="137"/>
      <c r="M62" s="138"/>
      <c r="N62" s="137"/>
      <c r="O62" s="54"/>
      <c r="P62" s="54"/>
    </row>
    <row r="63" spans="1:16" ht="27.75" customHeight="1" x14ac:dyDescent="0.2">
      <c r="A63" s="1738"/>
      <c r="B63" s="1736"/>
      <c r="C63" s="1737"/>
      <c r="D63" s="1736"/>
      <c r="E63" s="1737"/>
      <c r="F63" s="1736"/>
      <c r="G63" s="1737"/>
      <c r="H63" s="1736"/>
      <c r="I63" s="1737"/>
      <c r="J63" s="1736"/>
      <c r="K63" s="1737"/>
      <c r="L63" s="1736"/>
      <c r="M63" s="1737"/>
      <c r="N63" s="1736"/>
      <c r="O63" s="54"/>
      <c r="P63" s="54"/>
    </row>
    <row r="64" spans="1:16" ht="27.75" customHeight="1" x14ac:dyDescent="0.2">
      <c r="A64" s="1738"/>
      <c r="B64" s="1736"/>
      <c r="C64" s="1737"/>
      <c r="D64" s="1736"/>
      <c r="E64" s="1737"/>
      <c r="F64" s="1736"/>
      <c r="G64" s="1737"/>
      <c r="H64" s="1736"/>
      <c r="I64" s="1737"/>
      <c r="J64" s="1736"/>
      <c r="K64" s="1737"/>
      <c r="L64" s="1736"/>
      <c r="M64" s="1737"/>
      <c r="N64" s="1736"/>
      <c r="O64" s="54"/>
      <c r="P64" s="54"/>
    </row>
    <row r="65" spans="1:17" ht="27.75" customHeight="1" x14ac:dyDescent="0.2">
      <c r="A65" s="1735"/>
      <c r="B65" s="1736"/>
      <c r="C65" s="1737"/>
      <c r="D65" s="1736"/>
      <c r="E65" s="1737"/>
      <c r="F65" s="1736"/>
      <c r="G65" s="1737"/>
      <c r="H65" s="1736"/>
      <c r="I65" s="1737"/>
      <c r="J65" s="1736"/>
      <c r="K65" s="1737"/>
      <c r="L65" s="1736"/>
      <c r="M65" s="1737"/>
      <c r="N65" s="1736"/>
      <c r="O65" s="54"/>
      <c r="P65" s="54"/>
    </row>
    <row r="66" spans="1:17" ht="27.75" customHeight="1" x14ac:dyDescent="0.2">
      <c r="A66" s="1735"/>
      <c r="B66" s="1736"/>
      <c r="C66" s="1737"/>
      <c r="D66" s="1736"/>
      <c r="E66" s="1737"/>
      <c r="F66" s="1736"/>
      <c r="G66" s="1737"/>
      <c r="H66" s="1736"/>
      <c r="I66" s="1737"/>
      <c r="J66" s="1736"/>
      <c r="K66" s="1737"/>
      <c r="L66" s="1736"/>
      <c r="M66" s="1737"/>
      <c r="N66" s="1736"/>
      <c r="O66" s="54"/>
      <c r="P66" s="54"/>
    </row>
    <row r="67" spans="1:17" ht="27.75" customHeight="1" x14ac:dyDescent="0.2">
      <c r="A67" s="1735"/>
      <c r="B67" s="1736"/>
      <c r="C67" s="1737"/>
      <c r="D67" s="1736"/>
      <c r="E67" s="1737"/>
      <c r="F67" s="1736"/>
      <c r="G67" s="1737"/>
      <c r="H67" s="1736"/>
      <c r="I67" s="1737"/>
      <c r="J67" s="1736"/>
      <c r="K67" s="1737"/>
      <c r="L67" s="1736"/>
      <c r="M67" s="1737"/>
      <c r="N67" s="1736"/>
      <c r="O67" s="54"/>
      <c r="P67" s="54"/>
    </row>
    <row r="68" spans="1:17" ht="27.75" customHeight="1" x14ac:dyDescent="0.2">
      <c r="A68" s="1735"/>
      <c r="B68" s="1736"/>
      <c r="C68" s="1737"/>
      <c r="D68" s="1736"/>
      <c r="E68" s="1737"/>
      <c r="F68" s="1736"/>
      <c r="G68" s="1737"/>
      <c r="H68" s="1736"/>
      <c r="I68" s="1737"/>
      <c r="J68" s="1736"/>
      <c r="K68" s="1737"/>
      <c r="L68" s="1736"/>
      <c r="M68" s="1737"/>
      <c r="N68" s="1736"/>
      <c r="O68" s="54"/>
      <c r="P68" s="54"/>
    </row>
    <row r="69" spans="1:17" x14ac:dyDescent="0.2">
      <c r="A69" s="55"/>
      <c r="B69" s="54"/>
      <c r="C69" s="56"/>
      <c r="D69" s="54"/>
      <c r="E69" s="56"/>
      <c r="F69" s="54"/>
      <c r="G69" s="56"/>
      <c r="H69" s="54"/>
      <c r="I69" s="56"/>
      <c r="J69" s="54"/>
      <c r="K69" s="56"/>
      <c r="L69" s="54"/>
      <c r="M69" s="56"/>
      <c r="N69" s="54"/>
      <c r="O69" s="54"/>
      <c r="P69" s="54"/>
    </row>
    <row r="70" spans="1:17" x14ac:dyDescent="0.2">
      <c r="A70" s="55"/>
      <c r="B70" s="54"/>
      <c r="C70" s="54"/>
      <c r="D70" s="54"/>
      <c r="E70" s="54"/>
      <c r="F70" s="54"/>
      <c r="G70" s="54"/>
      <c r="H70" s="54"/>
      <c r="I70" s="54"/>
      <c r="J70" s="54"/>
      <c r="K70" s="54"/>
      <c r="L70" s="54"/>
      <c r="M70" s="54"/>
      <c r="N70" s="54"/>
      <c r="O70" s="54"/>
      <c r="P70" s="54"/>
    </row>
    <row r="71" spans="1:17" x14ac:dyDescent="0.2">
      <c r="A71" s="55"/>
      <c r="B71" s="54"/>
      <c r="C71" s="56"/>
      <c r="D71" s="54"/>
      <c r="E71" s="56"/>
      <c r="F71" s="54"/>
      <c r="G71" s="56"/>
      <c r="H71" s="54"/>
      <c r="I71" s="56"/>
      <c r="J71" s="54"/>
      <c r="K71" s="56"/>
      <c r="L71" s="54"/>
      <c r="M71" s="56"/>
      <c r="N71" s="54"/>
      <c r="O71" s="54"/>
      <c r="P71" s="54"/>
    </row>
    <row r="72" spans="1:17" x14ac:dyDescent="0.2">
      <c r="A72" s="55"/>
      <c r="B72" s="54"/>
      <c r="C72" s="54"/>
      <c r="D72" s="54"/>
      <c r="E72" s="54"/>
      <c r="F72" s="54"/>
      <c r="G72" s="54"/>
      <c r="H72" s="54"/>
      <c r="I72" s="54"/>
      <c r="J72" s="54"/>
      <c r="K72" s="54"/>
      <c r="L72" s="54"/>
      <c r="M72" s="54"/>
      <c r="N72" s="54"/>
      <c r="O72" s="54"/>
      <c r="P72" s="54"/>
    </row>
    <row r="73" spans="1:17" x14ac:dyDescent="0.2">
      <c r="A73" s="55"/>
      <c r="B73" s="54"/>
      <c r="C73" s="56"/>
      <c r="D73" s="54"/>
      <c r="E73" s="56"/>
      <c r="F73" s="54"/>
      <c r="G73" s="56"/>
      <c r="H73" s="54"/>
      <c r="I73" s="56"/>
      <c r="J73" s="54"/>
      <c r="K73" s="56"/>
      <c r="L73" s="54"/>
      <c r="M73" s="56"/>
      <c r="N73" s="54"/>
      <c r="O73" s="54"/>
      <c r="P73" s="54"/>
    </row>
    <row r="74" spans="1:17" x14ac:dyDescent="0.2">
      <c r="A74" s="55"/>
      <c r="B74" s="54"/>
      <c r="C74" s="54"/>
      <c r="D74" s="54"/>
      <c r="E74" s="54"/>
      <c r="F74" s="54"/>
      <c r="G74" s="54"/>
      <c r="H74" s="54"/>
      <c r="I74" s="54"/>
      <c r="J74" s="54"/>
      <c r="K74" s="54"/>
      <c r="L74" s="54"/>
      <c r="M74" s="54"/>
      <c r="N74" s="54"/>
      <c r="O74" s="54"/>
      <c r="P74" s="54"/>
    </row>
    <row r="75" spans="1:17" x14ac:dyDescent="0.2">
      <c r="A75" s="55"/>
      <c r="B75" s="54"/>
      <c r="C75" s="54"/>
      <c r="D75" s="54"/>
      <c r="E75" s="54"/>
      <c r="F75" s="54"/>
      <c r="G75" s="54"/>
      <c r="H75" s="54"/>
      <c r="I75" s="54"/>
      <c r="J75" s="54"/>
      <c r="K75" s="54"/>
      <c r="L75" s="54"/>
      <c r="M75" s="54"/>
      <c r="N75" s="54"/>
      <c r="O75" s="54"/>
      <c r="P75" s="54"/>
    </row>
    <row r="76" spans="1:17" x14ac:dyDescent="0.2">
      <c r="A76" s="55"/>
      <c r="B76" s="54"/>
      <c r="C76" s="54"/>
      <c r="D76" s="54"/>
      <c r="E76" s="54"/>
      <c r="F76" s="54"/>
      <c r="G76" s="54"/>
      <c r="H76" s="54"/>
      <c r="I76" s="54"/>
      <c r="J76" s="54"/>
      <c r="K76" s="54"/>
      <c r="L76" s="54"/>
      <c r="M76" s="54"/>
      <c r="N76" s="54"/>
      <c r="O76" s="54"/>
      <c r="P76" s="54"/>
      <c r="Q76" s="57"/>
    </row>
    <row r="77" spans="1:17" x14ac:dyDescent="0.2">
      <c r="B77" s="25"/>
      <c r="C77" s="25"/>
      <c r="D77" s="25"/>
      <c r="E77" s="58"/>
      <c r="F77" s="58"/>
      <c r="G77" s="58"/>
      <c r="H77" s="58"/>
    </row>
    <row r="78" spans="1:17" x14ac:dyDescent="0.2">
      <c r="B78" s="25"/>
      <c r="C78" s="25"/>
      <c r="D78" s="25"/>
      <c r="E78" s="58"/>
      <c r="F78" s="58"/>
      <c r="G78" s="58"/>
      <c r="H78" s="58"/>
    </row>
    <row r="79" spans="1:17" x14ac:dyDescent="0.2">
      <c r="B79" s="25"/>
      <c r="C79" s="25"/>
      <c r="D79" s="25"/>
      <c r="E79" s="58"/>
      <c r="F79" s="58"/>
      <c r="G79" s="58"/>
      <c r="H79" s="58"/>
    </row>
    <row r="80" spans="1:17"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25"/>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sheetData>
  <mergeCells count="9">
    <mergeCell ref="A67:N67"/>
    <mergeCell ref="A68:N68"/>
    <mergeCell ref="K2:K3"/>
    <mergeCell ref="A61:N61"/>
    <mergeCell ref="A62:K62"/>
    <mergeCell ref="A63:N63"/>
    <mergeCell ref="A64:N64"/>
    <mergeCell ref="A65:N65"/>
    <mergeCell ref="A66:N66"/>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4">
    <pageSetUpPr fitToPage="1"/>
  </sheetPr>
  <dimension ref="A1:Q10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12.7109375" style="60" bestFit="1" customWidth="1"/>
    <col min="17" max="17" width="3.42578125" style="29" customWidth="1"/>
    <col min="18" max="16384" width="9.140625" style="29"/>
  </cols>
  <sheetData>
    <row r="1" spans="1:17" s="4" customFormat="1" ht="15.75" x14ac:dyDescent="0.2">
      <c r="A1" s="1" t="s">
        <v>174</v>
      </c>
      <c r="B1" s="2">
        <v>2019</v>
      </c>
      <c r="C1" s="3"/>
      <c r="E1" s="3"/>
      <c r="G1" s="5"/>
      <c r="I1" s="5"/>
      <c r="J1" s="6"/>
      <c r="K1" s="5"/>
      <c r="L1" s="6"/>
      <c r="M1" s="5"/>
      <c r="N1" s="6"/>
    </row>
    <row r="2" spans="1:17" s="4" customFormat="1" ht="15.75" x14ac:dyDescent="0.25">
      <c r="A2" s="1" t="s">
        <v>175</v>
      </c>
      <c r="B2" s="7" t="s">
        <v>176</v>
      </c>
      <c r="C2" s="7" t="s">
        <v>0</v>
      </c>
      <c r="D2" s="6"/>
      <c r="E2" s="8"/>
      <c r="F2" s="9"/>
      <c r="G2" s="8"/>
      <c r="H2" s="6"/>
      <c r="I2" s="8"/>
      <c r="J2" s="6"/>
      <c r="K2" s="1733" t="s">
        <v>171</v>
      </c>
      <c r="L2" s="6"/>
      <c r="M2" s="8"/>
      <c r="N2" s="6"/>
    </row>
    <row r="3" spans="1:17" s="4" customFormat="1" ht="15.75" x14ac:dyDescent="0.25">
      <c r="A3" s="1" t="s">
        <v>177</v>
      </c>
      <c r="B3" s="10" t="s">
        <v>607</v>
      </c>
      <c r="C3" s="10" t="s">
        <v>608</v>
      </c>
      <c r="D3" s="6"/>
      <c r="E3" s="11"/>
      <c r="F3" s="9"/>
      <c r="G3" s="11"/>
      <c r="H3" s="6"/>
      <c r="I3" s="11"/>
      <c r="J3" s="6"/>
      <c r="K3" s="1734"/>
      <c r="L3" s="6"/>
      <c r="M3" s="11"/>
      <c r="N3" s="6"/>
    </row>
    <row r="4" spans="1:17" s="4" customFormat="1" ht="15.75" x14ac:dyDescent="0.25">
      <c r="A4" s="1" t="s">
        <v>180</v>
      </c>
      <c r="B4" s="10" t="s">
        <v>642</v>
      </c>
      <c r="C4" s="10" t="s">
        <v>12</v>
      </c>
      <c r="D4" s="6"/>
      <c r="E4" s="11"/>
      <c r="F4" s="9"/>
      <c r="G4" s="11"/>
      <c r="H4" s="6"/>
      <c r="I4" s="11"/>
      <c r="J4" s="6"/>
      <c r="K4" s="11"/>
      <c r="L4" s="6"/>
      <c r="M4" s="11"/>
      <c r="N4" s="6"/>
    </row>
    <row r="5" spans="1:17" s="4" customFormat="1" ht="15.75" x14ac:dyDescent="0.2">
      <c r="A5" s="1" t="s">
        <v>183</v>
      </c>
      <c r="B5" s="12" t="s">
        <v>211</v>
      </c>
      <c r="C5" s="12" t="s">
        <v>211</v>
      </c>
      <c r="D5" s="13"/>
      <c r="E5" s="14"/>
      <c r="G5" s="14"/>
      <c r="I5" s="14"/>
      <c r="K5" s="14"/>
      <c r="M5" s="14"/>
    </row>
    <row r="6" spans="1:17" s="4" customFormat="1" ht="15.75" x14ac:dyDescent="0.25">
      <c r="A6" s="15" t="s">
        <v>186</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187</v>
      </c>
      <c r="L7" s="23"/>
      <c r="M7" s="22" t="s">
        <v>187</v>
      </c>
      <c r="N7" s="23"/>
    </row>
    <row r="8" spans="1:17"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7"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7" s="37" customFormat="1" x14ac:dyDescent="0.2">
      <c r="A10" s="35" t="s">
        <v>222</v>
      </c>
      <c r="B10" s="36"/>
    </row>
    <row r="11" spans="1:17" s="37" customFormat="1" x14ac:dyDescent="0.2">
      <c r="A11" s="35" t="s">
        <v>643</v>
      </c>
      <c r="B11" s="36"/>
    </row>
    <row r="12" spans="1:17" s="40" customFormat="1" x14ac:dyDescent="0.2">
      <c r="A12" s="41" t="s">
        <v>644</v>
      </c>
      <c r="B12" s="39"/>
      <c r="C12" s="104">
        <f>C13+C14</f>
        <v>99</v>
      </c>
      <c r="D12" s="76"/>
      <c r="E12" s="76">
        <v>95</v>
      </c>
      <c r="F12" s="63"/>
      <c r="G12" s="76">
        <v>92</v>
      </c>
      <c r="I12" s="76">
        <v>93</v>
      </c>
      <c r="K12" s="76">
        <v>88</v>
      </c>
      <c r="M12" s="77"/>
    </row>
    <row r="13" spans="1:17" s="40" customFormat="1" x14ac:dyDescent="0.2">
      <c r="A13" s="90" t="s">
        <v>645</v>
      </c>
      <c r="B13" s="39"/>
      <c r="C13" s="104">
        <v>71</v>
      </c>
      <c r="D13" s="76"/>
      <c r="E13" s="76">
        <v>71</v>
      </c>
      <c r="F13" s="63"/>
      <c r="G13" s="76">
        <v>68</v>
      </c>
      <c r="I13" s="76">
        <v>67</v>
      </c>
      <c r="K13" s="76">
        <v>64</v>
      </c>
      <c r="M13" s="77"/>
    </row>
    <row r="14" spans="1:17" s="40" customFormat="1" x14ac:dyDescent="0.2">
      <c r="A14" s="90" t="s">
        <v>646</v>
      </c>
      <c r="B14" s="39"/>
      <c r="C14" s="104">
        <v>28</v>
      </c>
      <c r="D14" s="76"/>
      <c r="E14" s="76">
        <v>24</v>
      </c>
      <c r="F14" s="63"/>
      <c r="G14" s="76">
        <v>24</v>
      </c>
      <c r="I14" s="76">
        <v>26</v>
      </c>
      <c r="K14" s="76">
        <v>24</v>
      </c>
      <c r="M14" s="77"/>
    </row>
    <row r="15" spans="1:17" s="40" customFormat="1" x14ac:dyDescent="0.2">
      <c r="A15" s="41" t="s">
        <v>647</v>
      </c>
      <c r="B15" s="39"/>
      <c r="C15" s="276">
        <v>120616</v>
      </c>
      <c r="D15" s="104"/>
      <c r="E15" s="97">
        <v>168137</v>
      </c>
      <c r="F15" s="104"/>
      <c r="G15" s="97">
        <v>159793</v>
      </c>
      <c r="I15" s="97">
        <v>158344</v>
      </c>
      <c r="K15" s="97">
        <v>164784</v>
      </c>
      <c r="M15" s="98"/>
    </row>
    <row r="16" spans="1:17" s="40" customFormat="1" x14ac:dyDescent="0.2">
      <c r="A16" s="41" t="s">
        <v>648</v>
      </c>
      <c r="B16" s="39"/>
      <c r="C16" s="106"/>
      <c r="D16" s="63"/>
      <c r="E16" s="63"/>
      <c r="F16" s="63"/>
      <c r="G16" s="63"/>
      <c r="I16" s="63"/>
      <c r="K16" s="63"/>
      <c r="M16" s="64"/>
      <c r="P16" s="404"/>
      <c r="Q16" s="404"/>
    </row>
    <row r="17" spans="1:17" s="40" customFormat="1" x14ac:dyDescent="0.2">
      <c r="A17" s="90" t="s">
        <v>649</v>
      </c>
      <c r="B17" s="39"/>
      <c r="C17" s="276">
        <v>49414</v>
      </c>
      <c r="D17" s="63"/>
      <c r="E17" s="97">
        <v>50402</v>
      </c>
      <c r="F17" s="63"/>
      <c r="G17" s="97">
        <v>51410</v>
      </c>
      <c r="I17" s="97">
        <v>51410</v>
      </c>
      <c r="K17" s="97">
        <v>52438</v>
      </c>
      <c r="M17" s="98"/>
      <c r="N17" s="98"/>
      <c r="P17" s="404"/>
      <c r="Q17" s="404"/>
    </row>
    <row r="18" spans="1:17" s="40" customFormat="1" x14ac:dyDescent="0.2">
      <c r="A18" s="90" t="s">
        <v>650</v>
      </c>
      <c r="B18" s="39"/>
      <c r="C18" s="276">
        <v>61743</v>
      </c>
      <c r="D18" s="63"/>
      <c r="E18" s="97">
        <v>62977</v>
      </c>
      <c r="F18" s="63"/>
      <c r="G18" s="97">
        <v>64237</v>
      </c>
      <c r="I18" s="97">
        <v>64237</v>
      </c>
      <c r="K18" s="97">
        <v>65521</v>
      </c>
      <c r="M18" s="98"/>
      <c r="N18" s="98"/>
      <c r="P18" s="404"/>
      <c r="Q18" s="404"/>
    </row>
    <row r="19" spans="1:17" s="40" customFormat="1" x14ac:dyDescent="0.2">
      <c r="A19" s="41" t="s">
        <v>651</v>
      </c>
      <c r="B19" s="39"/>
      <c r="C19" s="276">
        <v>65869</v>
      </c>
      <c r="D19" s="63"/>
      <c r="E19" s="276">
        <v>69926</v>
      </c>
      <c r="F19" s="63"/>
      <c r="G19" s="97">
        <v>71630</v>
      </c>
      <c r="I19" s="97">
        <v>70860</v>
      </c>
      <c r="K19" s="97">
        <v>74886</v>
      </c>
      <c r="M19" s="98"/>
      <c r="N19" s="98"/>
      <c r="P19" s="404"/>
      <c r="Q19" s="404"/>
    </row>
    <row r="20" spans="1:17" s="40" customFormat="1" x14ac:dyDescent="0.2">
      <c r="A20" s="41" t="s">
        <v>652</v>
      </c>
      <c r="B20" s="39"/>
      <c r="C20" s="104">
        <v>8</v>
      </c>
      <c r="D20" s="63"/>
      <c r="E20" s="76">
        <v>6</v>
      </c>
      <c r="F20" s="63"/>
      <c r="G20" s="76">
        <v>5</v>
      </c>
      <c r="I20" s="76">
        <v>5</v>
      </c>
      <c r="K20" s="76">
        <v>6</v>
      </c>
      <c r="M20" s="77"/>
      <c r="P20" s="404"/>
      <c r="Q20" s="404"/>
    </row>
    <row r="21" spans="1:17" s="40" customFormat="1" x14ac:dyDescent="0.2">
      <c r="A21" s="90" t="s">
        <v>653</v>
      </c>
      <c r="B21" s="39"/>
      <c r="C21" s="104">
        <v>3</v>
      </c>
      <c r="D21" s="76"/>
      <c r="E21" s="76">
        <v>2</v>
      </c>
      <c r="F21" s="76"/>
      <c r="G21" s="76">
        <v>1</v>
      </c>
      <c r="I21" s="76">
        <v>1</v>
      </c>
      <c r="K21" s="76">
        <v>2</v>
      </c>
      <c r="M21" s="77"/>
      <c r="P21" s="404"/>
      <c r="Q21" s="404"/>
    </row>
    <row r="22" spans="1:17" s="40" customFormat="1" x14ac:dyDescent="0.2">
      <c r="A22" s="90" t="s">
        <v>654</v>
      </c>
      <c r="B22" s="39"/>
      <c r="C22" s="104">
        <v>5</v>
      </c>
      <c r="D22" s="76"/>
      <c r="E22" s="76">
        <v>4</v>
      </c>
      <c r="F22" s="76"/>
      <c r="G22" s="76">
        <v>4</v>
      </c>
      <c r="I22" s="76">
        <v>4</v>
      </c>
      <c r="K22" s="76">
        <v>4</v>
      </c>
      <c r="M22" s="77"/>
      <c r="P22" s="404"/>
      <c r="Q22" s="404"/>
    </row>
    <row r="23" spans="1:17" s="40" customFormat="1" x14ac:dyDescent="0.2">
      <c r="A23" s="41"/>
      <c r="B23" s="39"/>
      <c r="C23" s="63"/>
      <c r="D23" s="63"/>
      <c r="E23" s="63"/>
      <c r="F23" s="63"/>
      <c r="G23" s="63"/>
      <c r="I23" s="63"/>
      <c r="P23" s="404"/>
      <c r="Q23" s="404"/>
    </row>
    <row r="24" spans="1:17" s="37" customFormat="1" x14ac:dyDescent="0.2">
      <c r="A24" s="35" t="s">
        <v>194</v>
      </c>
      <c r="B24" s="36"/>
      <c r="C24" s="87"/>
      <c r="D24" s="87"/>
      <c r="E24" s="87"/>
      <c r="F24" s="87"/>
      <c r="G24" s="87"/>
      <c r="I24" s="87"/>
    </row>
    <row r="25" spans="1:17" s="37" customFormat="1" x14ac:dyDescent="0.2">
      <c r="A25" s="35" t="s">
        <v>195</v>
      </c>
      <c r="B25" s="36"/>
      <c r="C25" s="87"/>
      <c r="D25" s="87"/>
      <c r="E25" s="87"/>
      <c r="F25" s="87"/>
      <c r="G25" s="87"/>
      <c r="I25" s="87"/>
    </row>
    <row r="26" spans="1:17" s="40" customFormat="1" x14ac:dyDescent="0.2">
      <c r="A26" s="38" t="s">
        <v>196</v>
      </c>
      <c r="B26" s="39"/>
      <c r="C26" s="63"/>
      <c r="D26" s="63"/>
      <c r="E26" s="63"/>
      <c r="F26" s="63"/>
      <c r="G26" s="63"/>
      <c r="I26" s="63"/>
    </row>
    <row r="27" spans="1:17" s="40" customFormat="1" x14ac:dyDescent="0.2">
      <c r="A27" s="41" t="s">
        <v>197</v>
      </c>
      <c r="B27" s="39"/>
      <c r="C27" s="76">
        <v>64</v>
      </c>
      <c r="D27" s="76"/>
      <c r="E27" s="76">
        <v>56</v>
      </c>
      <c r="F27" s="63"/>
      <c r="G27" s="76">
        <v>56</v>
      </c>
      <c r="I27" s="76">
        <v>50</v>
      </c>
      <c r="K27" s="76">
        <v>50</v>
      </c>
      <c r="M27" s="77"/>
    </row>
    <row r="28" spans="1:17" s="40" customFormat="1" x14ac:dyDescent="0.2">
      <c r="A28" s="41" t="s">
        <v>261</v>
      </c>
      <c r="B28" s="39"/>
      <c r="C28" s="76">
        <v>8</v>
      </c>
      <c r="D28" s="76"/>
      <c r="E28" s="76">
        <v>7</v>
      </c>
      <c r="F28" s="63"/>
      <c r="G28" s="76">
        <v>3</v>
      </c>
      <c r="I28" s="76">
        <v>6</v>
      </c>
      <c r="K28" s="76">
        <v>3</v>
      </c>
      <c r="M28" s="77"/>
    </row>
    <row r="29" spans="1:17" s="40" customFormat="1" x14ac:dyDescent="0.2">
      <c r="A29" s="41" t="s">
        <v>262</v>
      </c>
      <c r="B29" s="39"/>
      <c r="C29" s="76">
        <v>94</v>
      </c>
      <c r="D29" s="76"/>
      <c r="E29" s="76">
        <v>90</v>
      </c>
      <c r="F29" s="63"/>
      <c r="G29" s="76">
        <v>90</v>
      </c>
      <c r="I29" s="76">
        <v>85</v>
      </c>
      <c r="K29" s="76">
        <v>85</v>
      </c>
      <c r="M29" s="77"/>
    </row>
    <row r="30" spans="1:17" s="40" customFormat="1" x14ac:dyDescent="0.2">
      <c r="A30" s="38" t="s">
        <v>198</v>
      </c>
      <c r="B30" s="39"/>
      <c r="C30" s="76">
        <f>SUM(C27:C29)</f>
        <v>166</v>
      </c>
      <c r="D30" s="76"/>
      <c r="E30" s="76">
        <f>SUM(E27:E29)</f>
        <v>153</v>
      </c>
      <c r="F30" s="63"/>
      <c r="G30" s="76">
        <f>SUM(G27:G29)</f>
        <v>149</v>
      </c>
      <c r="I30" s="76">
        <f>SUM(I27:I29)</f>
        <v>141</v>
      </c>
      <c r="K30" s="76">
        <f>SUM(K27:K29)</f>
        <v>138</v>
      </c>
      <c r="M30" s="77"/>
    </row>
    <row r="31" spans="1:17" s="40" customFormat="1" x14ac:dyDescent="0.2">
      <c r="A31" s="38" t="s">
        <v>199</v>
      </c>
      <c r="B31" s="39"/>
      <c r="C31" s="63"/>
      <c r="D31" s="63"/>
      <c r="E31" s="63"/>
      <c r="F31" s="63"/>
      <c r="G31" s="63"/>
      <c r="I31" s="63"/>
      <c r="K31" s="63"/>
      <c r="M31" s="77"/>
    </row>
    <row r="32" spans="1:17" s="40" customFormat="1" x14ac:dyDescent="0.2">
      <c r="A32" s="41" t="s">
        <v>643</v>
      </c>
      <c r="B32" s="39"/>
      <c r="C32" s="76">
        <v>156</v>
      </c>
      <c r="D32" s="76"/>
      <c r="E32" s="76">
        <v>148</v>
      </c>
      <c r="F32" s="63"/>
      <c r="G32" s="76">
        <v>144</v>
      </c>
      <c r="I32" s="76">
        <v>141</v>
      </c>
      <c r="K32" s="76">
        <v>138</v>
      </c>
      <c r="M32" s="77"/>
    </row>
    <row r="33" spans="1:17" s="40" customFormat="1" x14ac:dyDescent="0.2">
      <c r="A33" s="41" t="s">
        <v>655</v>
      </c>
      <c r="B33" s="39"/>
      <c r="C33" s="76">
        <v>10</v>
      </c>
      <c r="D33" s="76"/>
      <c r="E33" s="76">
        <v>5</v>
      </c>
      <c r="F33" s="63"/>
      <c r="G33" s="76">
        <v>5</v>
      </c>
      <c r="I33" s="76">
        <v>0</v>
      </c>
      <c r="K33" s="76">
        <v>0</v>
      </c>
      <c r="M33" s="77"/>
    </row>
    <row r="34" spans="1:17" s="40" customFormat="1" x14ac:dyDescent="0.2">
      <c r="A34" s="38" t="s">
        <v>198</v>
      </c>
      <c r="B34" s="39"/>
      <c r="C34" s="76">
        <f>SUM(C32:C33)</f>
        <v>166</v>
      </c>
      <c r="D34" s="76"/>
      <c r="E34" s="76">
        <f>SUM(E32:E33)</f>
        <v>153</v>
      </c>
      <c r="F34" s="63"/>
      <c r="G34" s="76">
        <f>SUM(G32:G33)</f>
        <v>149</v>
      </c>
      <c r="I34" s="76">
        <f>SUM(I32:I33)</f>
        <v>141</v>
      </c>
      <c r="K34" s="76">
        <f>SUM(K32:K33)</f>
        <v>138</v>
      </c>
      <c r="M34" s="77"/>
    </row>
    <row r="35" spans="1:17" s="37" customFormat="1" x14ac:dyDescent="0.2">
      <c r="A35" s="35"/>
      <c r="B35" s="36"/>
    </row>
    <row r="36" spans="1:17" s="48" customFormat="1" x14ac:dyDescent="0.2">
      <c r="A36" s="46"/>
      <c r="B36" s="47"/>
    </row>
    <row r="37" spans="1:17" s="48" customFormat="1" x14ac:dyDescent="0.2">
      <c r="A37" s="49" t="s">
        <v>200</v>
      </c>
      <c r="B37" s="50"/>
      <c r="C37" s="51"/>
      <c r="D37" s="52"/>
      <c r="E37" s="53"/>
      <c r="F37" s="52"/>
      <c r="G37" s="53"/>
      <c r="H37" s="52"/>
      <c r="I37" s="53"/>
      <c r="J37" s="52"/>
      <c r="K37" s="53"/>
      <c r="L37" s="52"/>
      <c r="M37" s="51"/>
      <c r="N37" s="52"/>
    </row>
    <row r="38" spans="1:17" ht="27.75" customHeight="1" x14ac:dyDescent="0.2">
      <c r="A38" s="1738" t="s">
        <v>524</v>
      </c>
      <c r="B38" s="1736"/>
      <c r="C38" s="1737"/>
      <c r="D38" s="1736"/>
      <c r="E38" s="1737"/>
      <c r="F38" s="1736"/>
      <c r="G38" s="1737"/>
      <c r="H38" s="1736"/>
      <c r="I38" s="1737"/>
      <c r="J38" s="1736"/>
      <c r="K38" s="1737"/>
      <c r="L38" s="1736"/>
      <c r="M38" s="1737"/>
      <c r="N38" s="1736"/>
      <c r="O38" s="54"/>
      <c r="P38" s="54"/>
      <c r="Q38" s="951"/>
    </row>
    <row r="39" spans="1:17" x14ac:dyDescent="0.2">
      <c r="A39" s="1738" t="s">
        <v>656</v>
      </c>
      <c r="B39" s="1736"/>
      <c r="C39" s="1737"/>
      <c r="D39" s="1736"/>
      <c r="E39" s="1737"/>
      <c r="F39" s="1736"/>
      <c r="G39" s="1737"/>
      <c r="H39" s="1736"/>
      <c r="I39" s="1737"/>
      <c r="J39" s="1736"/>
      <c r="K39" s="1737"/>
      <c r="L39" s="1736"/>
      <c r="M39" s="1737"/>
      <c r="N39" s="1736"/>
      <c r="O39" s="54"/>
      <c r="P39" s="54"/>
    </row>
    <row r="40" spans="1:17" ht="27.75" customHeight="1" x14ac:dyDescent="0.2">
      <c r="A40" s="1735" t="s">
        <v>657</v>
      </c>
      <c r="B40" s="1736"/>
      <c r="C40" s="1737"/>
      <c r="D40" s="1736"/>
      <c r="E40" s="1737"/>
      <c r="F40" s="1736"/>
      <c r="G40" s="1737"/>
      <c r="H40" s="1736"/>
      <c r="I40" s="1737"/>
      <c r="J40" s="1736"/>
      <c r="K40" s="1737"/>
      <c r="L40" s="1736"/>
      <c r="M40" s="1737"/>
      <c r="N40" s="1736"/>
      <c r="O40" s="54"/>
      <c r="P40" s="54"/>
    </row>
    <row r="41" spans="1:17" ht="27.75" customHeight="1" x14ac:dyDescent="0.2">
      <c r="A41" s="1735"/>
      <c r="B41" s="1736"/>
      <c r="C41" s="1737"/>
      <c r="D41" s="1736"/>
      <c r="E41" s="1737"/>
      <c r="F41" s="1736"/>
      <c r="G41" s="1737"/>
      <c r="H41" s="1736"/>
      <c r="I41" s="1737"/>
      <c r="J41" s="1736"/>
      <c r="K41" s="1737"/>
      <c r="L41" s="1736"/>
      <c r="M41" s="1737"/>
      <c r="N41" s="1736"/>
      <c r="O41" s="54"/>
      <c r="P41" s="54"/>
    </row>
    <row r="42" spans="1:17" ht="27.75" customHeight="1" x14ac:dyDescent="0.2">
      <c r="A42" s="1735"/>
      <c r="B42" s="1736"/>
      <c r="C42" s="1737"/>
      <c r="D42" s="1736"/>
      <c r="E42" s="1737"/>
      <c r="F42" s="1736"/>
      <c r="G42" s="1737"/>
      <c r="H42" s="1736"/>
      <c r="I42" s="1737"/>
      <c r="J42" s="1736"/>
      <c r="K42" s="1737"/>
      <c r="L42" s="1736"/>
      <c r="M42" s="1737"/>
      <c r="N42" s="1736"/>
      <c r="O42" s="54"/>
      <c r="P42" s="54"/>
    </row>
    <row r="43" spans="1:17" ht="27.75" customHeight="1" x14ac:dyDescent="0.2">
      <c r="A43" s="1735"/>
      <c r="B43" s="1736"/>
      <c r="C43" s="1737"/>
      <c r="D43" s="1736"/>
      <c r="E43" s="1737"/>
      <c r="F43" s="1736"/>
      <c r="G43" s="1737"/>
      <c r="H43" s="1736"/>
      <c r="I43" s="1737"/>
      <c r="J43" s="1736"/>
      <c r="K43" s="1737"/>
      <c r="L43" s="1736"/>
      <c r="M43" s="1737"/>
      <c r="N43" s="1736"/>
      <c r="O43" s="54"/>
      <c r="P43" s="54"/>
    </row>
    <row r="44" spans="1:17" ht="27.75" customHeight="1" x14ac:dyDescent="0.2">
      <c r="A44" s="1735"/>
      <c r="B44" s="1736"/>
      <c r="C44" s="1737"/>
      <c r="D44" s="1736"/>
      <c r="E44" s="1737"/>
      <c r="F44" s="1736"/>
      <c r="G44" s="1737"/>
      <c r="H44" s="1736"/>
      <c r="I44" s="1737"/>
      <c r="J44" s="1736"/>
      <c r="K44" s="1737"/>
      <c r="L44" s="1736"/>
      <c r="M44" s="1737"/>
      <c r="N44" s="1736"/>
      <c r="O44" s="54"/>
      <c r="P44" s="54"/>
    </row>
    <row r="45" spans="1:17" ht="27.75" customHeight="1" x14ac:dyDescent="0.2">
      <c r="A45" s="1735"/>
      <c r="B45" s="1736"/>
      <c r="C45" s="1737"/>
      <c r="D45" s="1736"/>
      <c r="E45" s="1737"/>
      <c r="F45" s="1736"/>
      <c r="G45" s="1737"/>
      <c r="H45" s="1736"/>
      <c r="I45" s="1737"/>
      <c r="J45" s="1736"/>
      <c r="K45" s="1737"/>
      <c r="L45" s="1736"/>
      <c r="M45" s="1737"/>
      <c r="N45" s="1736"/>
      <c r="O45" s="54"/>
      <c r="P45" s="54"/>
    </row>
    <row r="46" spans="1:17" ht="27.75" customHeight="1" x14ac:dyDescent="0.2">
      <c r="A46" s="1735"/>
      <c r="B46" s="1736"/>
      <c r="C46" s="1737"/>
      <c r="D46" s="1736"/>
      <c r="E46" s="1737"/>
      <c r="F46" s="1736"/>
      <c r="G46" s="1737"/>
      <c r="H46" s="1736"/>
      <c r="I46" s="1737"/>
      <c r="J46" s="1736"/>
      <c r="K46" s="1737"/>
      <c r="L46" s="1736"/>
      <c r="M46" s="1737"/>
      <c r="N46" s="1736"/>
      <c r="O46" s="54"/>
      <c r="P46" s="54"/>
    </row>
    <row r="47" spans="1:17" x14ac:dyDescent="0.2">
      <c r="A47" s="55"/>
      <c r="B47" s="54"/>
      <c r="C47" s="56"/>
      <c r="D47" s="54"/>
      <c r="E47" s="56"/>
      <c r="F47" s="54"/>
      <c r="G47" s="56"/>
      <c r="H47" s="54"/>
      <c r="I47" s="56"/>
      <c r="J47" s="54"/>
      <c r="K47" s="56"/>
      <c r="L47" s="54"/>
      <c r="M47" s="56"/>
      <c r="N47" s="54"/>
      <c r="O47" s="54"/>
      <c r="P47" s="54"/>
    </row>
    <row r="48" spans="1:17" x14ac:dyDescent="0.2">
      <c r="A48" s="55"/>
      <c r="B48" s="54"/>
      <c r="C48" s="54"/>
      <c r="D48" s="54"/>
      <c r="E48" s="54"/>
      <c r="F48" s="54"/>
      <c r="G48" s="54"/>
      <c r="H48" s="54"/>
      <c r="I48" s="54"/>
      <c r="J48" s="54"/>
      <c r="K48" s="54"/>
      <c r="L48" s="54"/>
      <c r="M48" s="54"/>
      <c r="N48" s="54"/>
      <c r="O48" s="54"/>
      <c r="P48" s="54"/>
    </row>
    <row r="49" spans="1:17" x14ac:dyDescent="0.2">
      <c r="A49" s="55"/>
      <c r="B49" s="54"/>
      <c r="C49" s="56"/>
      <c r="D49" s="54"/>
      <c r="E49" s="56"/>
      <c r="F49" s="54"/>
      <c r="G49" s="56"/>
      <c r="H49" s="54"/>
      <c r="I49" s="56"/>
      <c r="J49" s="54"/>
      <c r="K49" s="56"/>
      <c r="L49" s="54"/>
      <c r="M49" s="56"/>
      <c r="N49" s="54"/>
      <c r="O49" s="54"/>
      <c r="P49" s="54"/>
    </row>
    <row r="50" spans="1:17" x14ac:dyDescent="0.2">
      <c r="A50" s="55"/>
      <c r="B50" s="54"/>
      <c r="C50" s="54"/>
      <c r="D50" s="54"/>
      <c r="E50" s="54"/>
      <c r="F50" s="54"/>
      <c r="G50" s="54"/>
      <c r="H50" s="54"/>
      <c r="I50" s="54"/>
      <c r="J50" s="54"/>
      <c r="K50" s="54"/>
      <c r="L50" s="54"/>
      <c r="M50" s="54"/>
      <c r="N50" s="54"/>
      <c r="O50" s="54"/>
      <c r="P50" s="54"/>
    </row>
    <row r="51" spans="1:17" x14ac:dyDescent="0.2">
      <c r="A51" s="55"/>
      <c r="B51" s="54"/>
      <c r="C51" s="56"/>
      <c r="D51" s="54"/>
      <c r="E51" s="56"/>
      <c r="F51" s="54"/>
      <c r="G51" s="56"/>
      <c r="H51" s="54"/>
      <c r="I51" s="56"/>
      <c r="J51" s="54"/>
      <c r="K51" s="56"/>
      <c r="L51" s="54"/>
      <c r="M51" s="56"/>
      <c r="N51" s="54"/>
      <c r="O51" s="54"/>
      <c r="P51" s="54"/>
    </row>
    <row r="52" spans="1:17" x14ac:dyDescent="0.2">
      <c r="A52" s="55"/>
      <c r="B52" s="54"/>
      <c r="C52" s="54"/>
      <c r="D52" s="54"/>
      <c r="E52" s="54"/>
      <c r="F52" s="54"/>
      <c r="G52" s="54"/>
      <c r="H52" s="54"/>
      <c r="I52" s="54"/>
      <c r="J52" s="54"/>
      <c r="K52" s="54"/>
      <c r="L52" s="54"/>
      <c r="M52" s="54"/>
      <c r="N52" s="54"/>
      <c r="O52" s="54"/>
      <c r="P52" s="54"/>
    </row>
    <row r="53" spans="1:17" x14ac:dyDescent="0.2">
      <c r="A53" s="55"/>
      <c r="B53" s="54"/>
      <c r="C53" s="54"/>
      <c r="D53" s="54"/>
      <c r="E53" s="54"/>
      <c r="F53" s="54"/>
      <c r="G53" s="54"/>
      <c r="H53" s="54"/>
      <c r="I53" s="54"/>
      <c r="J53" s="54"/>
      <c r="K53" s="54"/>
      <c r="L53" s="54"/>
      <c r="M53" s="54"/>
      <c r="N53" s="54"/>
      <c r="O53" s="54"/>
      <c r="P53" s="54"/>
    </row>
    <row r="54" spans="1:17" x14ac:dyDescent="0.2">
      <c r="A54" s="55"/>
      <c r="B54" s="54"/>
      <c r="C54" s="54"/>
      <c r="D54" s="54"/>
      <c r="E54" s="54"/>
      <c r="F54" s="54"/>
      <c r="G54" s="54"/>
      <c r="H54" s="54"/>
      <c r="I54" s="54"/>
      <c r="J54" s="54"/>
      <c r="K54" s="54"/>
      <c r="L54" s="54"/>
      <c r="M54" s="54"/>
      <c r="N54" s="54"/>
      <c r="O54" s="54"/>
      <c r="P54" s="54"/>
      <c r="Q54" s="57"/>
    </row>
    <row r="55" spans="1:17" x14ac:dyDescent="0.2">
      <c r="B55" s="25"/>
      <c r="C55" s="25"/>
      <c r="D55" s="25"/>
      <c r="E55" s="58"/>
      <c r="F55" s="58"/>
      <c r="G55" s="58"/>
      <c r="H55" s="58"/>
    </row>
    <row r="56" spans="1:17" x14ac:dyDescent="0.2">
      <c r="B56" s="25"/>
      <c r="C56" s="25"/>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3" x14ac:dyDescent="0.2">
      <c r="B97" s="25"/>
    </row>
    <row r="98" spans="2:3" x14ac:dyDescent="0.2">
      <c r="B98" s="25"/>
    </row>
    <row r="99" spans="2:3" x14ac:dyDescent="0.2">
      <c r="B99" s="25"/>
    </row>
    <row r="100" spans="2:3" x14ac:dyDescent="0.2">
      <c r="B100" s="25"/>
      <c r="C100" s="59"/>
    </row>
  </sheetData>
  <mergeCells count="10">
    <mergeCell ref="A44:N44"/>
    <mergeCell ref="A45:N45"/>
    <mergeCell ref="A46:N46"/>
    <mergeCell ref="K2:K3"/>
    <mergeCell ref="A38:N38"/>
    <mergeCell ref="A39:N39"/>
    <mergeCell ref="A40:N40"/>
    <mergeCell ref="A41:N41"/>
    <mergeCell ref="A42:N42"/>
    <mergeCell ref="A43:N4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0">
    <pageSetUpPr fitToPage="1"/>
  </sheetPr>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178</v>
      </c>
      <c r="C3" s="10" t="s">
        <v>179</v>
      </c>
      <c r="D3" s="6"/>
      <c r="E3" s="11"/>
      <c r="F3" s="9"/>
      <c r="G3" s="11"/>
      <c r="H3" s="6"/>
      <c r="I3" s="11"/>
      <c r="J3" s="6"/>
      <c r="K3" s="1734"/>
      <c r="L3" s="6"/>
      <c r="M3" s="11"/>
      <c r="N3" s="6"/>
    </row>
    <row r="4" spans="1:16" s="4" customFormat="1" ht="15.75" x14ac:dyDescent="0.25">
      <c r="A4" s="1" t="s">
        <v>180</v>
      </c>
      <c r="B4" s="10" t="s">
        <v>181</v>
      </c>
      <c r="C4" s="10" t="s">
        <v>182</v>
      </c>
      <c r="D4" s="6"/>
      <c r="E4" s="11"/>
      <c r="F4" s="9"/>
      <c r="G4" s="11"/>
      <c r="H4" s="6"/>
      <c r="I4" s="11"/>
      <c r="J4" s="6"/>
      <c r="K4" s="11"/>
      <c r="L4" s="6"/>
      <c r="M4" s="11"/>
      <c r="N4" s="6"/>
    </row>
    <row r="5" spans="1:16" s="4" customFormat="1" ht="15.75" x14ac:dyDescent="0.2">
      <c r="A5" s="1" t="s">
        <v>183</v>
      </c>
      <c r="B5" s="12" t="s">
        <v>184</v>
      </c>
      <c r="C5" s="12" t="s">
        <v>185</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row>
    <row r="11" spans="1:16" s="37" customFormat="1" x14ac:dyDescent="0.2">
      <c r="A11" s="35" t="s">
        <v>195</v>
      </c>
      <c r="B11" s="36"/>
    </row>
    <row r="12" spans="1:16" s="40" customFormat="1" x14ac:dyDescent="0.2">
      <c r="A12" s="38" t="s">
        <v>196</v>
      </c>
      <c r="B12" s="39"/>
    </row>
    <row r="13" spans="1:16" s="40" customFormat="1" x14ac:dyDescent="0.2">
      <c r="A13" s="41" t="s">
        <v>197</v>
      </c>
      <c r="B13" s="39"/>
      <c r="C13" s="42">
        <v>45</v>
      </c>
      <c r="E13" s="42">
        <v>47</v>
      </c>
      <c r="G13" s="42"/>
      <c r="I13" s="42">
        <v>42</v>
      </c>
      <c r="K13" s="42"/>
      <c r="M13" s="43"/>
    </row>
    <row r="14" spans="1:16" s="40" customFormat="1" x14ac:dyDescent="0.2">
      <c r="A14" s="41" t="s">
        <v>198</v>
      </c>
      <c r="B14" s="39"/>
      <c r="C14" s="42">
        <v>45</v>
      </c>
      <c r="E14" s="42">
        <v>47</v>
      </c>
      <c r="G14" s="42"/>
      <c r="I14" s="42">
        <v>42</v>
      </c>
      <c r="K14" s="42"/>
      <c r="M14" s="44"/>
    </row>
    <row r="15" spans="1:16" s="40" customFormat="1" x14ac:dyDescent="0.2">
      <c r="A15" s="38" t="s">
        <v>199</v>
      </c>
      <c r="B15" s="39"/>
      <c r="E15" s="42"/>
    </row>
    <row r="16" spans="1:16" s="40" customFormat="1" x14ac:dyDescent="0.2">
      <c r="A16" s="41" t="s">
        <v>185</v>
      </c>
      <c r="B16" s="39"/>
      <c r="C16" s="42">
        <v>45</v>
      </c>
      <c r="E16" s="42">
        <v>47</v>
      </c>
      <c r="G16" s="42"/>
      <c r="I16" s="42">
        <v>42</v>
      </c>
      <c r="K16" s="42"/>
      <c r="M16" s="45"/>
    </row>
    <row r="17" spans="1:17" s="40" customFormat="1" x14ac:dyDescent="0.2">
      <c r="A17" s="41" t="s">
        <v>198</v>
      </c>
      <c r="B17" s="39"/>
      <c r="C17" s="42">
        <v>45</v>
      </c>
      <c r="E17" s="42">
        <v>47</v>
      </c>
      <c r="G17" s="42"/>
      <c r="I17" s="42">
        <v>42</v>
      </c>
      <c r="K17" s="42"/>
      <c r="M17" s="43"/>
    </row>
    <row r="18" spans="1:17" s="48" customFormat="1" x14ac:dyDescent="0.2">
      <c r="A18" s="46"/>
      <c r="B18" s="47"/>
    </row>
    <row r="19" spans="1:17" s="48" customFormat="1" x14ac:dyDescent="0.2">
      <c r="A19" s="49" t="s">
        <v>200</v>
      </c>
      <c r="B19" s="50"/>
      <c r="C19" s="51"/>
      <c r="D19" s="52"/>
      <c r="E19" s="53"/>
      <c r="F19" s="52"/>
      <c r="G19" s="53"/>
      <c r="H19" s="52"/>
      <c r="I19" s="53"/>
      <c r="J19" s="52"/>
      <c r="K19" s="53"/>
      <c r="L19" s="52"/>
      <c r="M19" s="51"/>
      <c r="N19" s="52"/>
    </row>
    <row r="20" spans="1:17" ht="27.75" customHeight="1" x14ac:dyDescent="0.2">
      <c r="A20" s="1738" t="s">
        <v>201</v>
      </c>
      <c r="B20" s="1736"/>
      <c r="C20" s="1737"/>
      <c r="D20" s="1736"/>
      <c r="E20" s="1737"/>
      <c r="F20" s="1736"/>
      <c r="G20" s="1737"/>
      <c r="H20" s="1736"/>
      <c r="I20" s="1737"/>
      <c r="J20" s="1736"/>
      <c r="K20" s="1737"/>
      <c r="L20" s="1736"/>
      <c r="M20" s="1737"/>
      <c r="N20" s="1736"/>
      <c r="O20" s="54"/>
      <c r="P20" s="54"/>
      <c r="Q20" s="951"/>
    </row>
    <row r="21" spans="1:17" ht="27.75" customHeight="1" x14ac:dyDescent="0.2">
      <c r="A21" s="1735"/>
      <c r="B21" s="1735"/>
      <c r="C21" s="1735"/>
      <c r="D21" s="1735"/>
      <c r="E21" s="1735"/>
      <c r="F21" s="1735"/>
      <c r="G21" s="1735"/>
      <c r="H21" s="1735"/>
      <c r="I21" s="1735"/>
      <c r="J21" s="1735"/>
      <c r="K21" s="1735"/>
      <c r="L21" s="1735"/>
      <c r="M21" s="1735"/>
      <c r="N21" s="1735"/>
      <c r="O21" s="54"/>
      <c r="P21" s="54"/>
    </row>
    <row r="22" spans="1:17" ht="27.75" customHeight="1" x14ac:dyDescent="0.2">
      <c r="A22" s="1735"/>
      <c r="B22" s="1736"/>
      <c r="C22" s="1737"/>
      <c r="D22" s="1736"/>
      <c r="E22" s="1737"/>
      <c r="F22" s="1736"/>
      <c r="G22" s="1737"/>
      <c r="H22" s="1736"/>
      <c r="I22" s="1737"/>
      <c r="J22" s="1736"/>
      <c r="K22" s="1737"/>
      <c r="L22" s="1736"/>
      <c r="M22" s="1737"/>
      <c r="N22" s="1736"/>
      <c r="O22" s="54"/>
      <c r="P22" s="54"/>
    </row>
    <row r="23" spans="1:17" ht="27.75" customHeight="1" x14ac:dyDescent="0.2">
      <c r="A23" s="1735"/>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ht="27.75" customHeight="1" x14ac:dyDescent="0.2">
      <c r="A25" s="1735"/>
      <c r="B25" s="1736"/>
      <c r="C25" s="1737"/>
      <c r="D25" s="1736"/>
      <c r="E25" s="1737"/>
      <c r="F25" s="1736"/>
      <c r="G25" s="1737"/>
      <c r="H25" s="1736"/>
      <c r="I25" s="1737"/>
      <c r="J25" s="1736"/>
      <c r="K25" s="1737"/>
      <c r="L25" s="1736"/>
      <c r="M25" s="1737"/>
      <c r="N25" s="1736"/>
      <c r="O25" s="54"/>
      <c r="P25" s="54"/>
    </row>
    <row r="26" spans="1:17" ht="27.75" customHeight="1" x14ac:dyDescent="0.2">
      <c r="A26" s="1735"/>
      <c r="B26" s="1736"/>
      <c r="C26" s="1737"/>
      <c r="D26" s="1736"/>
      <c r="E26" s="1737"/>
      <c r="F26" s="1736"/>
      <c r="G26" s="1737"/>
      <c r="H26" s="1736"/>
      <c r="I26" s="1737"/>
      <c r="J26" s="1736"/>
      <c r="K26" s="1737"/>
      <c r="L26" s="1736"/>
      <c r="M26" s="1737"/>
      <c r="N26" s="1736"/>
      <c r="O26" s="54"/>
      <c r="P26" s="54"/>
    </row>
    <row r="27" spans="1:17" ht="27.75" customHeight="1" x14ac:dyDescent="0.2">
      <c r="A27" s="1735"/>
      <c r="B27" s="1736"/>
      <c r="C27" s="1737"/>
      <c r="D27" s="1736"/>
      <c r="E27" s="1737"/>
      <c r="F27" s="1736"/>
      <c r="G27" s="1737"/>
      <c r="H27" s="1736"/>
      <c r="I27" s="1737"/>
      <c r="J27" s="1736"/>
      <c r="K27" s="1737"/>
      <c r="L27" s="1736"/>
      <c r="M27" s="1737"/>
      <c r="N27" s="1736"/>
      <c r="O27" s="54"/>
      <c r="P27" s="54"/>
    </row>
    <row r="28" spans="1:17" ht="27.75" customHeight="1" x14ac:dyDescent="0.2">
      <c r="A28" s="1735"/>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x14ac:dyDescent="0.2">
      <c r="A30" s="55"/>
      <c r="B30" s="54"/>
      <c r="C30" s="56"/>
      <c r="D30" s="54"/>
      <c r="E30" s="56"/>
      <c r="F30" s="54"/>
      <c r="G30" s="56"/>
      <c r="H30" s="54"/>
      <c r="I30" s="56"/>
      <c r="J30" s="54"/>
      <c r="K30" s="56"/>
      <c r="L30" s="54"/>
      <c r="M30" s="56"/>
      <c r="N30" s="54"/>
      <c r="O30" s="54"/>
      <c r="P30" s="54"/>
    </row>
    <row r="31" spans="1:17" x14ac:dyDescent="0.2">
      <c r="A31" s="55"/>
      <c r="B31" s="54"/>
      <c r="C31" s="54"/>
      <c r="D31" s="54"/>
      <c r="E31" s="54"/>
      <c r="F31" s="54"/>
      <c r="G31" s="54"/>
      <c r="H31" s="54"/>
      <c r="I31" s="54"/>
      <c r="J31" s="54"/>
      <c r="K31" s="54"/>
      <c r="L31" s="54"/>
      <c r="M31" s="54"/>
      <c r="N31" s="54"/>
      <c r="O31" s="54"/>
      <c r="P31" s="54"/>
    </row>
    <row r="32" spans="1:17" x14ac:dyDescent="0.2">
      <c r="A32" s="55"/>
      <c r="B32" s="54"/>
      <c r="C32" s="56"/>
      <c r="D32" s="54"/>
      <c r="E32" s="56"/>
      <c r="F32" s="54"/>
      <c r="G32" s="56"/>
      <c r="H32" s="54"/>
      <c r="I32" s="56"/>
      <c r="J32" s="54"/>
      <c r="K32" s="56"/>
      <c r="L32" s="54"/>
      <c r="M32" s="56"/>
      <c r="N32" s="54"/>
      <c r="O32" s="54"/>
      <c r="P32" s="54"/>
    </row>
    <row r="33" spans="1:17" x14ac:dyDescent="0.2">
      <c r="A33" s="55"/>
      <c r="B33" s="54"/>
      <c r="C33" s="54"/>
      <c r="D33" s="54"/>
      <c r="E33" s="54"/>
      <c r="F33" s="54"/>
      <c r="G33" s="54"/>
      <c r="H33" s="54"/>
      <c r="I33" s="54"/>
      <c r="J33" s="54"/>
      <c r="K33" s="54"/>
      <c r="L33" s="54"/>
      <c r="M33" s="54"/>
      <c r="N33" s="54"/>
      <c r="O33" s="54"/>
      <c r="P33" s="54"/>
    </row>
    <row r="34" spans="1:17" x14ac:dyDescent="0.2">
      <c r="A34" s="55"/>
      <c r="B34" s="54"/>
      <c r="C34" s="56"/>
      <c r="D34" s="54"/>
      <c r="E34" s="56"/>
      <c r="F34" s="54"/>
      <c r="G34" s="56"/>
      <c r="H34" s="54"/>
      <c r="I34" s="56"/>
      <c r="J34" s="54"/>
      <c r="K34" s="56"/>
      <c r="L34" s="54"/>
      <c r="M34" s="56"/>
      <c r="N34" s="54"/>
      <c r="O34" s="54"/>
      <c r="P34" s="54"/>
    </row>
    <row r="35" spans="1:17" x14ac:dyDescent="0.2">
      <c r="A35" s="55"/>
      <c r="B35" s="54"/>
      <c r="C35" s="54"/>
      <c r="D35" s="54"/>
      <c r="E35" s="54"/>
      <c r="F35" s="54"/>
      <c r="G35" s="54"/>
      <c r="H35" s="54"/>
      <c r="I35" s="54"/>
      <c r="J35" s="54"/>
      <c r="K35" s="54"/>
      <c r="L35" s="54"/>
      <c r="M35" s="54"/>
      <c r="N35" s="54"/>
      <c r="O35" s="54"/>
      <c r="P35" s="54"/>
    </row>
    <row r="36" spans="1:17" x14ac:dyDescent="0.2">
      <c r="A36" s="55"/>
      <c r="B36" s="54"/>
      <c r="C36" s="54"/>
      <c r="D36" s="54"/>
      <c r="E36" s="54"/>
      <c r="F36" s="54"/>
      <c r="G36" s="54"/>
      <c r="H36" s="54"/>
      <c r="I36" s="54"/>
      <c r="J36" s="54"/>
      <c r="K36" s="54"/>
      <c r="L36" s="54"/>
      <c r="M36" s="54"/>
      <c r="N36" s="54"/>
      <c r="O36" s="54"/>
      <c r="P36" s="54"/>
    </row>
    <row r="37" spans="1:17" x14ac:dyDescent="0.2">
      <c r="A37" s="55"/>
      <c r="B37" s="54"/>
      <c r="C37" s="54"/>
      <c r="D37" s="54"/>
      <c r="E37" s="54"/>
      <c r="F37" s="54"/>
      <c r="G37" s="54"/>
      <c r="H37" s="54"/>
      <c r="I37" s="54"/>
      <c r="J37" s="54"/>
      <c r="K37" s="54"/>
      <c r="L37" s="54"/>
      <c r="M37" s="54"/>
      <c r="N37" s="54"/>
      <c r="O37" s="54"/>
      <c r="P37" s="54"/>
      <c r="Q37" s="57"/>
    </row>
    <row r="38" spans="1:17" x14ac:dyDescent="0.2">
      <c r="B38" s="25"/>
      <c r="C38" s="25"/>
      <c r="D38" s="25"/>
      <c r="E38" s="58"/>
      <c r="F38" s="58"/>
      <c r="G38" s="58"/>
      <c r="H38" s="58"/>
    </row>
    <row r="39" spans="1:17" x14ac:dyDescent="0.2">
      <c r="B39" s="25"/>
      <c r="C39" s="25"/>
      <c r="D39" s="25"/>
      <c r="E39" s="58"/>
      <c r="F39" s="58"/>
      <c r="G39" s="58"/>
      <c r="H39" s="58"/>
    </row>
    <row r="40" spans="1:17" x14ac:dyDescent="0.2">
      <c r="B40" s="25"/>
      <c r="C40" s="25"/>
      <c r="D40" s="25"/>
      <c r="E40" s="58"/>
      <c r="F40" s="58"/>
      <c r="G40" s="58"/>
      <c r="H40" s="58"/>
    </row>
    <row r="41" spans="1:17" x14ac:dyDescent="0.2">
      <c r="B41" s="25"/>
      <c r="C41" s="25"/>
      <c r="D41" s="25"/>
      <c r="E41" s="58"/>
      <c r="F41" s="58"/>
      <c r="G41" s="58"/>
      <c r="H41" s="58"/>
    </row>
    <row r="42" spans="1:17" x14ac:dyDescent="0.2">
      <c r="B42" s="25"/>
      <c r="C42" s="25"/>
      <c r="D42" s="25"/>
      <c r="E42" s="58"/>
      <c r="F42" s="58"/>
      <c r="G42" s="58"/>
      <c r="H42" s="58"/>
    </row>
    <row r="43" spans="1:17" x14ac:dyDescent="0.2">
      <c r="B43" s="25"/>
      <c r="C43" s="25"/>
      <c r="D43" s="25"/>
      <c r="E43" s="58"/>
      <c r="F43" s="58"/>
      <c r="G43" s="58"/>
      <c r="H43" s="58"/>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sheetData>
  <mergeCells count="11">
    <mergeCell ref="A26:N26"/>
    <mergeCell ref="A27:N27"/>
    <mergeCell ref="A28:N28"/>
    <mergeCell ref="A29:N29"/>
    <mergeCell ref="K2:K3"/>
    <mergeCell ref="A20:N20"/>
    <mergeCell ref="A21:N21"/>
    <mergeCell ref="A22:N22"/>
    <mergeCell ref="A23:N23"/>
    <mergeCell ref="A24:N24"/>
    <mergeCell ref="A25:N25"/>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5">
    <pageSetUpPr fitToPage="1"/>
  </sheetPr>
  <dimension ref="A1:Q9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607</v>
      </c>
      <c r="C3" s="10" t="s">
        <v>608</v>
      </c>
      <c r="D3" s="6"/>
      <c r="E3" s="11"/>
      <c r="F3" s="9"/>
      <c r="G3" s="11"/>
      <c r="H3" s="6"/>
      <c r="I3" s="11"/>
      <c r="J3" s="6"/>
      <c r="K3" s="1734"/>
      <c r="L3" s="6"/>
      <c r="M3" s="11"/>
      <c r="N3" s="6"/>
    </row>
    <row r="4" spans="1:16" s="4" customFormat="1" ht="15.75" x14ac:dyDescent="0.25">
      <c r="A4" s="1" t="s">
        <v>180</v>
      </c>
      <c r="B4" s="10" t="s">
        <v>658</v>
      </c>
      <c r="C4" s="10" t="s">
        <v>13</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659</v>
      </c>
      <c r="B10" s="36"/>
    </row>
    <row r="11" spans="1:16" s="37" customFormat="1" x14ac:dyDescent="0.2">
      <c r="A11" s="35" t="s">
        <v>660</v>
      </c>
      <c r="B11" s="36"/>
    </row>
    <row r="12" spans="1:16" s="40" customFormat="1" x14ac:dyDescent="0.2">
      <c r="A12" s="41" t="s">
        <v>661</v>
      </c>
      <c r="B12" s="39"/>
      <c r="C12" s="63"/>
      <c r="D12" s="63"/>
      <c r="E12" s="63"/>
      <c r="F12" s="63"/>
      <c r="G12" s="63"/>
      <c r="I12" s="63"/>
    </row>
    <row r="13" spans="1:16" s="40" customFormat="1" x14ac:dyDescent="0.2">
      <c r="A13" s="90" t="s">
        <v>662</v>
      </c>
      <c r="B13" s="39"/>
      <c r="C13" s="76">
        <v>80460</v>
      </c>
      <c r="D13" s="63"/>
      <c r="E13" s="76">
        <v>74139</v>
      </c>
      <c r="F13" s="63"/>
      <c r="G13" s="76">
        <v>79609</v>
      </c>
      <c r="I13" s="76">
        <v>72750</v>
      </c>
      <c r="K13" s="76">
        <v>71387</v>
      </c>
      <c r="M13" s="77"/>
    </row>
    <row r="14" spans="1:16" s="40" customFormat="1" x14ac:dyDescent="0.2">
      <c r="A14" s="90" t="s">
        <v>652</v>
      </c>
      <c r="B14" s="39"/>
      <c r="C14" s="76">
        <v>21091</v>
      </c>
      <c r="D14" s="63"/>
      <c r="E14" s="76">
        <v>19074</v>
      </c>
      <c r="F14" s="63"/>
      <c r="G14" s="76">
        <v>20816</v>
      </c>
      <c r="I14" s="76">
        <v>18661</v>
      </c>
      <c r="K14" s="76">
        <v>18256</v>
      </c>
      <c r="M14" s="77"/>
    </row>
    <row r="15" spans="1:16" s="40" customFormat="1" x14ac:dyDescent="0.2">
      <c r="A15" s="131"/>
      <c r="B15" s="39"/>
      <c r="C15" s="63"/>
      <c r="D15" s="63"/>
      <c r="E15" s="63"/>
      <c r="F15" s="63"/>
      <c r="G15" s="63"/>
      <c r="I15" s="63"/>
    </row>
    <row r="16" spans="1:16" s="37" customFormat="1" x14ac:dyDescent="0.2">
      <c r="A16" s="35" t="s">
        <v>194</v>
      </c>
      <c r="B16" s="36"/>
      <c r="C16" s="87"/>
      <c r="D16" s="87"/>
      <c r="E16" s="87"/>
      <c r="F16" s="87"/>
      <c r="G16" s="87"/>
      <c r="I16" s="87"/>
    </row>
    <row r="17" spans="1:17" s="37" customFormat="1" x14ac:dyDescent="0.2">
      <c r="A17" s="35" t="s">
        <v>195</v>
      </c>
      <c r="B17" s="36"/>
      <c r="C17" s="87"/>
      <c r="D17" s="87"/>
      <c r="E17" s="87"/>
      <c r="F17" s="87"/>
      <c r="G17" s="87"/>
      <c r="I17" s="87"/>
    </row>
    <row r="18" spans="1:17" s="40" customFormat="1" x14ac:dyDescent="0.2">
      <c r="A18" s="38" t="s">
        <v>196</v>
      </c>
      <c r="B18" s="39"/>
      <c r="C18" s="63"/>
      <c r="D18" s="63"/>
      <c r="E18" s="63"/>
      <c r="F18" s="63"/>
      <c r="G18" s="63"/>
      <c r="I18" s="63"/>
    </row>
    <row r="19" spans="1:17" s="40" customFormat="1" x14ac:dyDescent="0.2">
      <c r="A19" s="41" t="s">
        <v>197</v>
      </c>
      <c r="B19" s="39"/>
      <c r="C19" s="76">
        <v>9</v>
      </c>
      <c r="D19" s="63"/>
      <c r="E19" s="76">
        <v>9</v>
      </c>
      <c r="F19" s="63"/>
      <c r="G19" s="76">
        <v>9</v>
      </c>
      <c r="I19" s="76">
        <v>11</v>
      </c>
      <c r="K19" s="76">
        <v>12</v>
      </c>
      <c r="M19" s="77"/>
    </row>
    <row r="20" spans="1:17" s="40" customFormat="1" x14ac:dyDescent="0.2">
      <c r="A20" s="41" t="s">
        <v>564</v>
      </c>
      <c r="B20" s="39"/>
      <c r="C20" s="76">
        <v>12</v>
      </c>
      <c r="D20" s="63"/>
      <c r="E20" s="76">
        <v>14</v>
      </c>
      <c r="F20" s="63"/>
      <c r="G20" s="76">
        <v>14</v>
      </c>
      <c r="I20" s="76">
        <v>15</v>
      </c>
      <c r="K20" s="76">
        <v>18</v>
      </c>
      <c r="M20" s="77"/>
    </row>
    <row r="21" spans="1:17" s="40" customFormat="1" x14ac:dyDescent="0.2">
      <c r="A21" s="41" t="s">
        <v>198</v>
      </c>
      <c r="B21" s="39"/>
      <c r="C21" s="76">
        <f>SUM(C19:C20)</f>
        <v>21</v>
      </c>
      <c r="D21" s="63"/>
      <c r="E21" s="76">
        <f>SUM(E19:E20)</f>
        <v>23</v>
      </c>
      <c r="F21" s="63"/>
      <c r="G21" s="76">
        <f>SUM(G19:G20)</f>
        <v>23</v>
      </c>
      <c r="I21" s="76">
        <f>SUM(I19:I20)</f>
        <v>26</v>
      </c>
      <c r="K21" s="76">
        <f>SUM(K19:K20)</f>
        <v>30</v>
      </c>
      <c r="M21" s="77"/>
    </row>
    <row r="22" spans="1:17" s="40" customFormat="1" x14ac:dyDescent="0.2">
      <c r="A22" s="38" t="s">
        <v>199</v>
      </c>
      <c r="B22" s="39"/>
      <c r="C22" s="63"/>
      <c r="D22" s="63"/>
      <c r="E22" s="63"/>
      <c r="F22" s="63"/>
      <c r="G22" s="63"/>
      <c r="I22" s="63"/>
      <c r="K22" s="63"/>
    </row>
    <row r="23" spans="1:17" s="40" customFormat="1" x14ac:dyDescent="0.2">
      <c r="A23" s="41" t="s">
        <v>660</v>
      </c>
      <c r="B23" s="39"/>
      <c r="C23" s="76">
        <v>21</v>
      </c>
      <c r="D23" s="63"/>
      <c r="E23" s="76">
        <v>23</v>
      </c>
      <c r="F23" s="63"/>
      <c r="G23" s="76">
        <v>23</v>
      </c>
      <c r="I23" s="76">
        <v>26</v>
      </c>
      <c r="K23" s="76">
        <v>30</v>
      </c>
      <c r="M23" s="77"/>
    </row>
    <row r="24" spans="1:17" s="40" customFormat="1" x14ac:dyDescent="0.2">
      <c r="A24" s="41" t="s">
        <v>198</v>
      </c>
      <c r="B24" s="39"/>
      <c r="C24" s="76">
        <f>SUM(C23)</f>
        <v>21</v>
      </c>
      <c r="D24" s="63"/>
      <c r="E24" s="76">
        <f>E23</f>
        <v>23</v>
      </c>
      <c r="F24" s="63"/>
      <c r="G24" s="76">
        <f>SUM(G23)</f>
        <v>23</v>
      </c>
      <c r="I24" s="76">
        <f>SUM(I23)</f>
        <v>26</v>
      </c>
      <c r="K24" s="76">
        <f>SUM(K23)</f>
        <v>30</v>
      </c>
      <c r="M24" s="77"/>
    </row>
    <row r="25" spans="1:17" s="37" customFormat="1" x14ac:dyDescent="0.2">
      <c r="A25" s="35"/>
      <c r="B25" s="36"/>
      <c r="K25" s="87"/>
    </row>
    <row r="26" spans="1:17" s="48" customFormat="1" x14ac:dyDescent="0.2">
      <c r="A26" s="46"/>
      <c r="B26" s="47"/>
    </row>
    <row r="27" spans="1:17" s="48" customFormat="1" x14ac:dyDescent="0.2">
      <c r="A27" s="49" t="s">
        <v>200</v>
      </c>
      <c r="B27" s="50"/>
      <c r="C27" s="53"/>
      <c r="D27" s="52"/>
      <c r="E27" s="53"/>
      <c r="F27" s="52"/>
      <c r="G27" s="53"/>
      <c r="H27" s="52"/>
      <c r="I27" s="53"/>
      <c r="J27" s="52"/>
      <c r="K27" s="53"/>
      <c r="L27" s="52"/>
      <c r="M27" s="51"/>
      <c r="N27" s="52"/>
    </row>
    <row r="28" spans="1:17" ht="27.75" customHeight="1" x14ac:dyDescent="0.2">
      <c r="A28" s="1758" t="s">
        <v>663</v>
      </c>
      <c r="B28" s="1736"/>
      <c r="C28" s="1737"/>
      <c r="D28" s="1736"/>
      <c r="E28" s="1737"/>
      <c r="F28" s="1736"/>
      <c r="G28" s="1737"/>
      <c r="H28" s="1736"/>
      <c r="I28" s="1737"/>
      <c r="J28" s="1736"/>
      <c r="K28" s="1737"/>
      <c r="L28" s="1736"/>
      <c r="M28" s="1737"/>
      <c r="N28" s="1736"/>
      <c r="O28" s="54"/>
      <c r="P28" s="54"/>
      <c r="Q28" s="951"/>
    </row>
    <row r="29" spans="1:17" ht="27.75" customHeight="1" x14ac:dyDescent="0.2">
      <c r="A29" s="1738"/>
      <c r="B29" s="1736"/>
      <c r="C29" s="1737"/>
      <c r="D29" s="1736"/>
      <c r="E29" s="1737"/>
      <c r="F29" s="1736"/>
      <c r="G29" s="1737"/>
      <c r="H29" s="1736"/>
      <c r="I29" s="1737"/>
      <c r="J29" s="1736"/>
      <c r="K29" s="1737"/>
      <c r="L29" s="1736"/>
      <c r="M29" s="1737"/>
      <c r="N29" s="1736"/>
      <c r="O29" s="54"/>
      <c r="P29" s="54"/>
    </row>
    <row r="30" spans="1:17" ht="27.75" customHeight="1" x14ac:dyDescent="0.2">
      <c r="A30" s="1735"/>
      <c r="B30" s="1736"/>
      <c r="C30" s="1737"/>
      <c r="D30" s="1736"/>
      <c r="E30" s="1737"/>
      <c r="F30" s="1736"/>
      <c r="G30" s="1737"/>
      <c r="H30" s="1736"/>
      <c r="I30" s="1737"/>
      <c r="J30" s="1736"/>
      <c r="K30" s="1737"/>
      <c r="L30" s="1736"/>
      <c r="M30" s="1737"/>
      <c r="N30" s="1736"/>
      <c r="O30" s="54"/>
      <c r="P30" s="54"/>
    </row>
    <row r="31" spans="1:17" ht="27.75" customHeight="1" x14ac:dyDescent="0.2">
      <c r="A31" s="1735"/>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x14ac:dyDescent="0.2">
      <c r="A37" s="55"/>
      <c r="B37" s="54"/>
      <c r="C37" s="56"/>
      <c r="D37" s="54"/>
      <c r="E37" s="56"/>
      <c r="F37" s="54"/>
      <c r="G37" s="56"/>
      <c r="H37" s="54"/>
      <c r="I37" s="56"/>
      <c r="J37" s="54"/>
      <c r="K37" s="56"/>
      <c r="L37" s="54"/>
      <c r="M37" s="56"/>
      <c r="N37" s="54"/>
      <c r="O37" s="54"/>
      <c r="P37" s="54"/>
    </row>
    <row r="38" spans="1:17" x14ac:dyDescent="0.2">
      <c r="A38" s="55"/>
      <c r="B38" s="54"/>
      <c r="C38" s="54"/>
      <c r="D38" s="54"/>
      <c r="E38" s="54"/>
      <c r="F38" s="54"/>
      <c r="G38" s="54"/>
      <c r="H38" s="54"/>
      <c r="I38" s="54"/>
      <c r="J38" s="54"/>
      <c r="K38" s="54"/>
      <c r="L38" s="54"/>
      <c r="M38" s="54"/>
      <c r="N38" s="54"/>
      <c r="O38" s="54"/>
      <c r="P38" s="54"/>
    </row>
    <row r="39" spans="1:17" x14ac:dyDescent="0.2">
      <c r="A39" s="55"/>
      <c r="B39" s="54"/>
      <c r="C39" s="56"/>
      <c r="D39" s="54"/>
      <c r="E39" s="56"/>
      <c r="F39" s="54"/>
      <c r="G39" s="56"/>
      <c r="H39" s="54"/>
      <c r="I39" s="56"/>
      <c r="J39" s="54"/>
      <c r="K39" s="56"/>
      <c r="L39" s="54"/>
      <c r="M39" s="56"/>
      <c r="N39" s="54"/>
      <c r="O39" s="54"/>
      <c r="P39" s="54"/>
    </row>
    <row r="40" spans="1:17" x14ac:dyDescent="0.2">
      <c r="A40" s="55"/>
      <c r="B40" s="54"/>
      <c r="C40" s="54"/>
      <c r="D40" s="54"/>
      <c r="E40" s="54"/>
      <c r="F40" s="54"/>
      <c r="G40" s="54"/>
      <c r="H40" s="54"/>
      <c r="I40" s="54"/>
      <c r="J40" s="54"/>
      <c r="K40" s="54"/>
      <c r="L40" s="54"/>
      <c r="M40" s="54"/>
      <c r="N40" s="54"/>
      <c r="O40" s="54"/>
      <c r="P40" s="54"/>
    </row>
    <row r="41" spans="1:17" x14ac:dyDescent="0.2">
      <c r="A41" s="55"/>
      <c r="B41" s="54"/>
      <c r="C41" s="56"/>
      <c r="D41" s="54"/>
      <c r="E41" s="56"/>
      <c r="F41" s="54"/>
      <c r="G41" s="56"/>
      <c r="H41" s="54"/>
      <c r="I41" s="56"/>
      <c r="J41" s="54"/>
      <c r="K41" s="56"/>
      <c r="L41" s="54"/>
      <c r="M41" s="56"/>
      <c r="N41" s="54"/>
      <c r="O41" s="54"/>
      <c r="P41" s="54"/>
    </row>
    <row r="42" spans="1:17" x14ac:dyDescent="0.2">
      <c r="A42" s="55"/>
      <c r="B42" s="54"/>
      <c r="C42" s="54"/>
      <c r="D42" s="54"/>
      <c r="E42" s="54"/>
      <c r="F42" s="54"/>
      <c r="G42" s="54"/>
      <c r="H42" s="54"/>
      <c r="I42" s="54"/>
      <c r="J42" s="54"/>
      <c r="K42" s="54"/>
      <c r="L42" s="54"/>
      <c r="M42" s="54"/>
      <c r="N42" s="54"/>
      <c r="O42" s="54"/>
      <c r="P42" s="54"/>
    </row>
    <row r="43" spans="1:17" x14ac:dyDescent="0.2">
      <c r="A43" s="55"/>
      <c r="B43" s="54"/>
      <c r="C43" s="54"/>
      <c r="D43" s="54"/>
      <c r="E43" s="54"/>
      <c r="F43" s="54"/>
      <c r="G43" s="54"/>
      <c r="H43" s="54"/>
      <c r="I43" s="54"/>
      <c r="J43" s="54"/>
      <c r="K43" s="54"/>
      <c r="L43" s="54"/>
      <c r="M43" s="54"/>
      <c r="N43" s="54"/>
      <c r="O43" s="54"/>
      <c r="P43" s="54"/>
    </row>
    <row r="44" spans="1:17" x14ac:dyDescent="0.2">
      <c r="A44" s="55"/>
      <c r="B44" s="54"/>
      <c r="C44" s="54"/>
      <c r="D44" s="54"/>
      <c r="E44" s="54"/>
      <c r="F44" s="54"/>
      <c r="G44" s="54"/>
      <c r="H44" s="54"/>
      <c r="I44" s="54"/>
      <c r="J44" s="54"/>
      <c r="K44" s="54"/>
      <c r="L44" s="54"/>
      <c r="M44" s="54"/>
      <c r="N44" s="54"/>
      <c r="O44" s="54"/>
      <c r="P44" s="54"/>
      <c r="Q44" s="57"/>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sheetData>
  <mergeCells count="10">
    <mergeCell ref="A34:N34"/>
    <mergeCell ref="A35:N35"/>
    <mergeCell ref="A36:N36"/>
    <mergeCell ref="K2:K3"/>
    <mergeCell ref="A28:N28"/>
    <mergeCell ref="A29:N29"/>
    <mergeCell ref="A30:N30"/>
    <mergeCell ref="A31:N31"/>
    <mergeCell ref="A32:N32"/>
    <mergeCell ref="A33:N3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6">
    <pageSetUpPr fitToPage="1"/>
  </sheetPr>
  <dimension ref="A1:Q124"/>
  <sheetViews>
    <sheetView showGridLines="0" workbookViewId="0">
      <pane xSplit="2" ySplit="9" topLeftCell="C10" activePane="bottomRight" state="frozen"/>
      <selection activeCell="C10" sqref="C10"/>
      <selection pane="topRight" activeCell="C10" sqref="C10"/>
      <selection pane="bottomLeft" activeCell="C10" sqref="C10"/>
      <selection pane="bottomRight" activeCell="K2" sqref="K2:K3"/>
    </sheetView>
  </sheetViews>
  <sheetFormatPr defaultRowHeight="12.75" x14ac:dyDescent="0.2"/>
  <cols>
    <col min="1" max="1" width="57.28515625" style="25" customWidth="1"/>
    <col min="2" max="2" width="6.42578125" style="26" bestFit="1" customWidth="1"/>
    <col min="3" max="3" width="12.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12"/>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607</v>
      </c>
      <c r="C3" s="10" t="s">
        <v>608</v>
      </c>
      <c r="D3" s="6"/>
      <c r="E3" s="11"/>
      <c r="F3" s="9"/>
      <c r="G3" s="11"/>
      <c r="H3" s="6"/>
      <c r="I3" s="11"/>
      <c r="J3" s="6"/>
      <c r="K3" s="1734"/>
      <c r="L3" s="6"/>
      <c r="M3" s="11"/>
      <c r="N3" s="6"/>
    </row>
    <row r="4" spans="1:16" s="4" customFormat="1" ht="15.75" x14ac:dyDescent="0.25">
      <c r="A4" s="1" t="s">
        <v>180</v>
      </c>
      <c r="B4" s="10" t="s">
        <v>607</v>
      </c>
      <c r="C4" s="10" t="s">
        <v>14</v>
      </c>
      <c r="D4" s="6"/>
      <c r="E4" s="11"/>
      <c r="F4" s="9"/>
      <c r="G4" s="11"/>
      <c r="H4" s="6"/>
      <c r="I4" s="11"/>
      <c r="J4" s="6"/>
      <c r="K4" s="11"/>
      <c r="L4" s="6"/>
      <c r="M4" s="11"/>
      <c r="N4" s="6"/>
    </row>
    <row r="5" spans="1:16" s="4" customFormat="1" ht="15.75" x14ac:dyDescent="0.2">
      <c r="A5" s="1" t="s">
        <v>183</v>
      </c>
      <c r="B5" s="12" t="s">
        <v>211</v>
      </c>
      <c r="C5" s="12"/>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73"/>
      <c r="D10" s="73"/>
    </row>
    <row r="11" spans="1:16" s="40" customFormat="1" x14ac:dyDescent="0.2">
      <c r="A11" s="405" t="s">
        <v>664</v>
      </c>
      <c r="B11" s="406"/>
      <c r="M11" s="77"/>
    </row>
    <row r="12" spans="1:16" s="40" customFormat="1" x14ac:dyDescent="0.2">
      <c r="A12" s="334" t="s">
        <v>665</v>
      </c>
      <c r="B12" s="335"/>
      <c r="C12" s="240">
        <v>70661</v>
      </c>
      <c r="D12" s="259"/>
      <c r="E12" s="242">
        <v>72257</v>
      </c>
      <c r="F12" s="63"/>
      <c r="G12" s="76">
        <v>75699</v>
      </c>
      <c r="I12" s="76">
        <v>72980</v>
      </c>
      <c r="K12" s="76">
        <v>73709</v>
      </c>
      <c r="M12" s="77"/>
    </row>
    <row r="13" spans="1:16" s="40" customFormat="1" x14ac:dyDescent="0.2">
      <c r="A13" s="405" t="s">
        <v>666</v>
      </c>
      <c r="B13" s="406"/>
      <c r="C13" s="407"/>
      <c r="D13" s="407"/>
      <c r="E13" s="407"/>
      <c r="F13" s="63"/>
      <c r="G13" s="63"/>
      <c r="I13" s="63"/>
      <c r="K13" s="63"/>
      <c r="M13" s="77"/>
    </row>
    <row r="14" spans="1:16" s="40" customFormat="1" x14ac:dyDescent="0.2">
      <c r="A14" s="334" t="s">
        <v>667</v>
      </c>
      <c r="B14" s="335"/>
      <c r="C14" s="407"/>
      <c r="D14" s="407"/>
      <c r="E14" s="407"/>
      <c r="F14" s="63"/>
      <c r="G14" s="63"/>
      <c r="I14" s="63"/>
      <c r="K14" s="63"/>
      <c r="M14" s="77"/>
    </row>
    <row r="15" spans="1:16" s="40" customFormat="1" x14ac:dyDescent="0.2">
      <c r="A15" s="408" t="s">
        <v>668</v>
      </c>
      <c r="B15" s="335"/>
      <c r="C15" s="240">
        <v>1151</v>
      </c>
      <c r="D15" s="259"/>
      <c r="E15" s="242">
        <v>1134</v>
      </c>
      <c r="F15" s="63"/>
      <c r="G15" s="76">
        <v>1445</v>
      </c>
      <c r="I15" s="76">
        <v>1130</v>
      </c>
      <c r="K15" s="76">
        <v>1130</v>
      </c>
      <c r="M15" s="77"/>
    </row>
    <row r="16" spans="1:16" s="40" customFormat="1" x14ac:dyDescent="0.2">
      <c r="A16" s="409" t="s">
        <v>669</v>
      </c>
      <c r="B16" s="410"/>
      <c r="C16" s="240">
        <v>437601</v>
      </c>
      <c r="D16" s="259"/>
      <c r="E16" s="242">
        <v>437261</v>
      </c>
      <c r="F16" s="63"/>
      <c r="G16" s="76">
        <v>461402</v>
      </c>
      <c r="I16" s="76">
        <v>441634</v>
      </c>
      <c r="K16" s="76">
        <v>446050</v>
      </c>
      <c r="M16" s="77"/>
    </row>
    <row r="17" spans="1:13" s="40" customFormat="1" x14ac:dyDescent="0.2">
      <c r="A17" s="408" t="s">
        <v>670</v>
      </c>
      <c r="B17" s="335"/>
      <c r="C17" s="240">
        <v>516703</v>
      </c>
      <c r="D17" s="259"/>
      <c r="E17" s="242">
        <v>521576</v>
      </c>
      <c r="F17" s="63"/>
      <c r="G17" s="76">
        <v>517737</v>
      </c>
      <c r="I17" s="76">
        <v>526792</v>
      </c>
      <c r="K17" s="76">
        <v>532060</v>
      </c>
      <c r="M17" s="77"/>
    </row>
    <row r="18" spans="1:13" s="37" customFormat="1" x14ac:dyDescent="0.2">
      <c r="A18" s="411" t="s">
        <v>671</v>
      </c>
      <c r="B18" s="36"/>
      <c r="C18" s="412"/>
      <c r="D18" s="87"/>
      <c r="E18" s="87"/>
      <c r="F18" s="87"/>
      <c r="G18" s="87"/>
      <c r="I18" s="87"/>
      <c r="K18" s="87"/>
    </row>
    <row r="19" spans="1:13" s="40" customFormat="1" x14ac:dyDescent="0.2">
      <c r="A19" s="41" t="s">
        <v>672</v>
      </c>
      <c r="B19" s="39"/>
      <c r="C19" s="240"/>
      <c r="D19" s="63"/>
      <c r="E19" s="63"/>
      <c r="F19" s="63"/>
      <c r="G19" s="63"/>
      <c r="I19" s="63"/>
      <c r="K19" s="63"/>
      <c r="M19" s="77"/>
    </row>
    <row r="20" spans="1:13" s="40" customFormat="1" x14ac:dyDescent="0.2">
      <c r="A20" s="90" t="s">
        <v>673</v>
      </c>
      <c r="B20" s="39"/>
      <c r="C20" s="240">
        <v>6976</v>
      </c>
      <c r="D20" s="63"/>
      <c r="E20" s="240">
        <v>10490</v>
      </c>
      <c r="F20" s="63"/>
      <c r="G20" s="76">
        <v>7900</v>
      </c>
      <c r="I20" s="76">
        <v>10400</v>
      </c>
      <c r="K20" s="76">
        <v>10400</v>
      </c>
      <c r="M20" s="77"/>
    </row>
    <row r="21" spans="1:13" s="40" customFormat="1" x14ac:dyDescent="0.2">
      <c r="A21" s="90" t="s">
        <v>674</v>
      </c>
      <c r="B21" s="39"/>
      <c r="C21" s="240">
        <v>3902</v>
      </c>
      <c r="D21" s="63"/>
      <c r="E21" s="240">
        <v>5454</v>
      </c>
      <c r="F21" s="63"/>
      <c r="G21" s="76">
        <v>4740</v>
      </c>
      <c r="I21" s="76">
        <v>5400</v>
      </c>
      <c r="K21" s="76">
        <v>5400</v>
      </c>
      <c r="M21" s="77"/>
    </row>
    <row r="22" spans="1:13" s="40" customFormat="1" x14ac:dyDescent="0.2">
      <c r="A22" s="41" t="s">
        <v>675</v>
      </c>
      <c r="B22" s="39"/>
      <c r="C22" s="240">
        <v>89</v>
      </c>
      <c r="D22" s="63"/>
      <c r="E22" s="76">
        <v>88</v>
      </c>
      <c r="F22" s="63"/>
      <c r="G22" s="76">
        <v>94</v>
      </c>
      <c r="I22" s="76">
        <v>89</v>
      </c>
      <c r="K22" s="76">
        <v>88</v>
      </c>
      <c r="M22" s="77"/>
    </row>
    <row r="23" spans="1:13" s="37" customFormat="1" x14ac:dyDescent="0.2">
      <c r="A23" s="35" t="s">
        <v>676</v>
      </c>
      <c r="B23" s="36"/>
      <c r="C23" s="412"/>
      <c r="D23" s="87"/>
      <c r="E23" s="87"/>
      <c r="F23" s="87"/>
      <c r="G23" s="87"/>
      <c r="I23" s="87"/>
      <c r="K23" s="87"/>
      <c r="M23" s="89"/>
    </row>
    <row r="24" spans="1:13" s="40" customFormat="1" x14ac:dyDescent="0.2">
      <c r="A24" s="41" t="s">
        <v>677</v>
      </c>
      <c r="B24" s="39"/>
      <c r="C24" s="240">
        <v>208</v>
      </c>
      <c r="D24" s="63"/>
      <c r="E24" s="76">
        <v>213</v>
      </c>
      <c r="F24" s="63"/>
      <c r="G24" s="76">
        <v>210</v>
      </c>
      <c r="I24" s="76">
        <v>195</v>
      </c>
      <c r="K24" s="76">
        <v>195</v>
      </c>
      <c r="M24" s="77"/>
    </row>
    <row r="25" spans="1:13" s="40" customFormat="1" x14ac:dyDescent="0.2">
      <c r="A25" s="41" t="s">
        <v>678</v>
      </c>
      <c r="B25" s="39"/>
      <c r="C25" s="240">
        <v>2996</v>
      </c>
      <c r="D25" s="63"/>
      <c r="E25" s="76">
        <v>3346</v>
      </c>
      <c r="F25" s="63"/>
      <c r="G25" s="76">
        <v>3100</v>
      </c>
      <c r="I25" s="76">
        <v>3850</v>
      </c>
      <c r="K25" s="76">
        <v>3850</v>
      </c>
      <c r="M25" s="77"/>
    </row>
    <row r="26" spans="1:13" s="37" customFormat="1" x14ac:dyDescent="0.2">
      <c r="A26" s="411" t="s">
        <v>679</v>
      </c>
      <c r="B26" s="36"/>
      <c r="C26" s="412"/>
      <c r="D26" s="87"/>
      <c r="E26" s="87"/>
      <c r="F26" s="87"/>
      <c r="G26" s="87"/>
      <c r="I26" s="87"/>
      <c r="K26" s="87"/>
      <c r="M26" s="89"/>
    </row>
    <row r="27" spans="1:13" s="37" customFormat="1" x14ac:dyDescent="0.2">
      <c r="A27" s="41" t="s">
        <v>680</v>
      </c>
      <c r="B27" s="36"/>
      <c r="C27" s="240">
        <v>50</v>
      </c>
      <c r="D27" s="87"/>
      <c r="E27" s="76">
        <v>50</v>
      </c>
      <c r="F27" s="87"/>
      <c r="G27" s="76">
        <v>50</v>
      </c>
      <c r="I27" s="76">
        <v>50</v>
      </c>
      <c r="K27" s="76">
        <v>50</v>
      </c>
      <c r="M27" s="89"/>
    </row>
    <row r="28" spans="1:13" s="40" customFormat="1" x14ac:dyDescent="0.2">
      <c r="A28" s="41" t="s">
        <v>681</v>
      </c>
      <c r="B28" s="39"/>
      <c r="C28" s="240">
        <v>8031</v>
      </c>
      <c r="D28" s="76" t="s">
        <v>290</v>
      </c>
      <c r="E28" s="76">
        <v>4905</v>
      </c>
      <c r="F28" s="63"/>
      <c r="G28" s="76">
        <v>14500</v>
      </c>
      <c r="I28" s="76">
        <v>4900</v>
      </c>
      <c r="K28" s="76">
        <v>7500</v>
      </c>
      <c r="M28" s="77"/>
    </row>
    <row r="29" spans="1:13" s="40" customFormat="1" x14ac:dyDescent="0.2">
      <c r="A29" s="41" t="s">
        <v>682</v>
      </c>
      <c r="B29" s="39"/>
      <c r="C29" s="240">
        <v>425</v>
      </c>
      <c r="D29" s="63"/>
      <c r="E29" s="76">
        <v>400</v>
      </c>
      <c r="F29" s="63"/>
      <c r="G29" s="76">
        <v>400</v>
      </c>
      <c r="I29" s="76">
        <v>400</v>
      </c>
      <c r="K29" s="76">
        <v>400</v>
      </c>
      <c r="M29" s="77"/>
    </row>
    <row r="30" spans="1:13" s="40" customFormat="1" x14ac:dyDescent="0.2">
      <c r="A30" s="41" t="s">
        <v>683</v>
      </c>
      <c r="B30" s="39"/>
      <c r="C30" s="240">
        <v>12000</v>
      </c>
      <c r="D30" s="76"/>
      <c r="E30" s="76">
        <v>12000</v>
      </c>
      <c r="F30" s="63"/>
      <c r="G30" s="76">
        <v>12000</v>
      </c>
      <c r="I30" s="76">
        <v>11500</v>
      </c>
      <c r="K30" s="76">
        <v>11500</v>
      </c>
      <c r="M30" s="77"/>
    </row>
    <row r="31" spans="1:13" s="40" customFormat="1" x14ac:dyDescent="0.2">
      <c r="A31" s="41" t="s">
        <v>684</v>
      </c>
      <c r="B31" s="39"/>
      <c r="C31" s="240">
        <v>10626</v>
      </c>
      <c r="D31" s="76"/>
      <c r="E31" s="76">
        <v>9382</v>
      </c>
      <c r="F31" s="63"/>
      <c r="G31" s="76">
        <v>11000</v>
      </c>
      <c r="I31" s="76">
        <v>9300</v>
      </c>
      <c r="K31" s="76">
        <v>9300</v>
      </c>
      <c r="M31" s="77"/>
    </row>
    <row r="32" spans="1:13" s="40" customFormat="1" x14ac:dyDescent="0.2">
      <c r="A32" s="41" t="s">
        <v>685</v>
      </c>
      <c r="B32" s="39"/>
      <c r="C32" s="240">
        <v>6496</v>
      </c>
      <c r="D32" s="76"/>
      <c r="E32" s="76">
        <v>6230</v>
      </c>
      <c r="F32" s="63"/>
      <c r="G32" s="76">
        <v>6500</v>
      </c>
      <c r="I32" s="76">
        <v>6250</v>
      </c>
      <c r="K32" s="76">
        <v>6300</v>
      </c>
      <c r="M32" s="77"/>
    </row>
    <row r="33" spans="1:13" s="40" customFormat="1" x14ac:dyDescent="0.2">
      <c r="A33" s="41" t="s">
        <v>686</v>
      </c>
      <c r="B33" s="39"/>
      <c r="C33" s="240">
        <v>6496</v>
      </c>
      <c r="D33" s="76"/>
      <c r="E33" s="76">
        <v>6230</v>
      </c>
      <c r="F33" s="63"/>
      <c r="G33" s="76">
        <v>6500</v>
      </c>
      <c r="I33" s="76">
        <v>6250</v>
      </c>
      <c r="K33" s="76">
        <v>6300</v>
      </c>
      <c r="M33" s="77"/>
    </row>
    <row r="34" spans="1:13" s="40" customFormat="1" ht="14.25" x14ac:dyDescent="0.2">
      <c r="A34" s="35" t="s">
        <v>687</v>
      </c>
      <c r="B34" s="39"/>
      <c r="C34" s="240"/>
      <c r="D34" s="63"/>
      <c r="E34" s="63"/>
      <c r="F34" s="63"/>
      <c r="G34" s="63"/>
      <c r="I34" s="63"/>
      <c r="K34" s="63"/>
      <c r="M34" s="77"/>
    </row>
    <row r="35" spans="1:13" s="40" customFormat="1" x14ac:dyDescent="0.2">
      <c r="A35" s="41" t="s">
        <v>688</v>
      </c>
      <c r="B35" s="39"/>
      <c r="C35" s="240"/>
      <c r="D35" s="63"/>
      <c r="E35" s="63"/>
      <c r="F35" s="63"/>
      <c r="G35" s="63"/>
      <c r="I35" s="63"/>
      <c r="K35" s="63"/>
      <c r="M35" s="77"/>
    </row>
    <row r="36" spans="1:13" s="40" customFormat="1" x14ac:dyDescent="0.2">
      <c r="A36" s="90" t="s">
        <v>689</v>
      </c>
      <c r="B36" s="39"/>
      <c r="C36" s="240">
        <v>315</v>
      </c>
      <c r="D36" s="63"/>
      <c r="E36" s="76">
        <v>260</v>
      </c>
      <c r="F36" s="63"/>
      <c r="G36" s="76">
        <v>325</v>
      </c>
      <c r="I36" s="76">
        <v>325</v>
      </c>
      <c r="K36" s="76">
        <v>350</v>
      </c>
      <c r="M36" s="77"/>
    </row>
    <row r="37" spans="1:13" s="40" customFormat="1" x14ac:dyDescent="0.2">
      <c r="A37" s="41" t="s">
        <v>690</v>
      </c>
      <c r="B37" s="39"/>
      <c r="C37" s="240"/>
      <c r="D37" s="63"/>
      <c r="E37" s="63"/>
      <c r="F37" s="63"/>
      <c r="G37" s="63"/>
      <c r="I37" s="63"/>
      <c r="K37" s="63"/>
      <c r="M37" s="70"/>
    </row>
    <row r="38" spans="1:13" s="40" customFormat="1" x14ac:dyDescent="0.2">
      <c r="A38" s="210" t="s">
        <v>691</v>
      </c>
      <c r="B38" s="39"/>
      <c r="C38" s="240">
        <v>160</v>
      </c>
      <c r="D38" s="63"/>
      <c r="E38" s="76">
        <v>185</v>
      </c>
      <c r="F38" s="63"/>
      <c r="G38" s="76">
        <v>220</v>
      </c>
      <c r="I38" s="76">
        <v>220</v>
      </c>
      <c r="K38" s="76">
        <v>186</v>
      </c>
      <c r="M38" s="77"/>
    </row>
    <row r="39" spans="1:13" s="40" customFormat="1" x14ac:dyDescent="0.2">
      <c r="A39" s="413" t="s">
        <v>692</v>
      </c>
      <c r="B39" s="145"/>
      <c r="C39" s="104" t="s">
        <v>352</v>
      </c>
      <c r="D39" s="63"/>
      <c r="E39" s="76"/>
      <c r="F39" s="63"/>
      <c r="G39" s="76"/>
      <c r="I39" s="76"/>
      <c r="K39" s="76"/>
      <c r="M39" s="77"/>
    </row>
    <row r="40" spans="1:13" s="40" customFormat="1" x14ac:dyDescent="0.2">
      <c r="A40" s="41" t="s">
        <v>693</v>
      </c>
      <c r="B40" s="145"/>
      <c r="C40" s="104"/>
      <c r="D40" s="63"/>
      <c r="E40" s="76"/>
      <c r="F40" s="63"/>
      <c r="G40" s="63"/>
      <c r="I40" s="63"/>
      <c r="K40" s="63"/>
      <c r="M40" s="77"/>
    </row>
    <row r="41" spans="1:13" s="40" customFormat="1" x14ac:dyDescent="0.2">
      <c r="A41" s="90" t="s">
        <v>694</v>
      </c>
      <c r="B41" s="145"/>
      <c r="C41" s="104">
        <v>491</v>
      </c>
      <c r="D41" s="63"/>
      <c r="E41" s="76">
        <v>459</v>
      </c>
      <c r="F41" s="63"/>
      <c r="G41" s="76">
        <v>525</v>
      </c>
      <c r="I41" s="76">
        <v>500</v>
      </c>
      <c r="K41" s="76">
        <v>525</v>
      </c>
      <c r="M41" s="77"/>
    </row>
    <row r="42" spans="1:13" s="40" customFormat="1" x14ac:dyDescent="0.2">
      <c r="A42" s="90" t="s">
        <v>695</v>
      </c>
      <c r="B42" s="145"/>
      <c r="C42" s="104">
        <v>139911</v>
      </c>
      <c r="D42" s="63"/>
      <c r="E42" s="76">
        <v>145938</v>
      </c>
      <c r="F42" s="63"/>
      <c r="G42" s="76">
        <v>141000</v>
      </c>
      <c r="I42" s="76">
        <v>150000</v>
      </c>
      <c r="K42" s="76">
        <v>160000</v>
      </c>
      <c r="M42" s="77"/>
    </row>
    <row r="43" spans="1:13" s="40" customFormat="1" x14ac:dyDescent="0.2">
      <c r="A43" s="210"/>
      <c r="B43" s="39"/>
      <c r="C43" s="104"/>
      <c r="D43" s="63"/>
      <c r="E43" s="63"/>
      <c r="F43" s="63"/>
      <c r="G43" s="63"/>
      <c r="I43" s="63"/>
      <c r="M43" s="77"/>
    </row>
    <row r="44" spans="1:13" s="37" customFormat="1" x14ac:dyDescent="0.2">
      <c r="A44" s="35" t="s">
        <v>194</v>
      </c>
      <c r="B44" s="36"/>
      <c r="C44" s="87"/>
      <c r="D44" s="87"/>
      <c r="E44" s="87"/>
      <c r="F44" s="87"/>
      <c r="G44" s="87"/>
      <c r="I44" s="87"/>
      <c r="M44" s="89"/>
    </row>
    <row r="45" spans="1:13" s="37" customFormat="1" x14ac:dyDescent="0.2">
      <c r="A45" s="35" t="s">
        <v>195</v>
      </c>
      <c r="B45" s="36"/>
      <c r="C45" s="87"/>
      <c r="D45" s="87"/>
      <c r="E45" s="87"/>
      <c r="F45" s="87"/>
      <c r="G45" s="87"/>
      <c r="I45" s="87"/>
      <c r="M45" s="89"/>
    </row>
    <row r="46" spans="1:13" s="40" customFormat="1" x14ac:dyDescent="0.2">
      <c r="A46" s="38" t="s">
        <v>196</v>
      </c>
      <c r="B46" s="39"/>
      <c r="C46" s="63"/>
      <c r="D46" s="63"/>
      <c r="E46" s="63"/>
      <c r="F46" s="63"/>
      <c r="G46" s="63"/>
      <c r="I46" s="63"/>
      <c r="M46" s="77"/>
    </row>
    <row r="47" spans="1:13" s="40" customFormat="1" x14ac:dyDescent="0.2">
      <c r="A47" s="41" t="s">
        <v>197</v>
      </c>
      <c r="B47" s="39"/>
      <c r="C47" s="76">
        <v>140</v>
      </c>
      <c r="D47" s="63"/>
      <c r="E47" s="76">
        <v>147</v>
      </c>
      <c r="F47" s="63"/>
      <c r="G47" s="76">
        <v>150</v>
      </c>
      <c r="I47" s="76">
        <v>133</v>
      </c>
      <c r="K47" s="76">
        <v>139</v>
      </c>
      <c r="M47" s="77"/>
    </row>
    <row r="48" spans="1:13" s="40" customFormat="1" x14ac:dyDescent="0.2">
      <c r="A48" s="41" t="s">
        <v>261</v>
      </c>
      <c r="B48" s="39"/>
      <c r="C48" s="76">
        <v>76</v>
      </c>
      <c r="D48" s="63"/>
      <c r="E48" s="76">
        <v>68</v>
      </c>
      <c r="F48" s="63"/>
      <c r="G48" s="76">
        <v>64</v>
      </c>
      <c r="I48" s="76">
        <v>59</v>
      </c>
      <c r="K48" s="76">
        <v>59</v>
      </c>
      <c r="M48" s="77"/>
    </row>
    <row r="49" spans="1:14" s="40" customFormat="1" x14ac:dyDescent="0.2">
      <c r="A49" s="41" t="s">
        <v>262</v>
      </c>
      <c r="B49" s="39"/>
      <c r="C49" s="76">
        <v>43</v>
      </c>
      <c r="D49" s="63"/>
      <c r="E49" s="76">
        <v>44</v>
      </c>
      <c r="F49" s="63"/>
      <c r="G49" s="76">
        <v>43</v>
      </c>
      <c r="I49" s="76">
        <v>40</v>
      </c>
      <c r="K49" s="76">
        <v>40</v>
      </c>
      <c r="M49" s="77"/>
    </row>
    <row r="50" spans="1:14" s="40" customFormat="1" x14ac:dyDescent="0.2">
      <c r="A50" s="41" t="s">
        <v>198</v>
      </c>
      <c r="B50" s="39"/>
      <c r="C50" s="76">
        <f>SUM(C47:C49)</f>
        <v>259</v>
      </c>
      <c r="D50" s="63"/>
      <c r="E50" s="76">
        <f>SUM(E47:E49)</f>
        <v>259</v>
      </c>
      <c r="F50" s="63"/>
      <c r="G50" s="76">
        <f>SUM(G47:G49)</f>
        <v>257</v>
      </c>
      <c r="I50" s="76">
        <f>SUM(I47:I49)</f>
        <v>232</v>
      </c>
      <c r="K50" s="76">
        <f>SUM(K47:K49)</f>
        <v>238</v>
      </c>
      <c r="M50" s="77"/>
    </row>
    <row r="51" spans="1:14" s="40" customFormat="1" x14ac:dyDescent="0.2">
      <c r="A51" s="38" t="s">
        <v>199</v>
      </c>
      <c r="B51" s="39"/>
      <c r="C51" s="76"/>
      <c r="D51" s="63"/>
      <c r="E51" s="63"/>
      <c r="F51" s="63"/>
      <c r="G51" s="63"/>
      <c r="I51" s="63"/>
      <c r="M51" s="77"/>
    </row>
    <row r="52" spans="1:14" s="40" customFormat="1" x14ac:dyDescent="0.2">
      <c r="A52" s="334" t="s">
        <v>664</v>
      </c>
      <c r="B52" s="335"/>
      <c r="C52" s="76">
        <v>2</v>
      </c>
      <c r="D52" s="63"/>
      <c r="E52" s="76">
        <v>3</v>
      </c>
      <c r="F52" s="63"/>
      <c r="G52" s="76">
        <v>3</v>
      </c>
      <c r="I52" s="76">
        <v>3</v>
      </c>
      <c r="K52" s="76">
        <v>3</v>
      </c>
      <c r="M52" s="77"/>
    </row>
    <row r="53" spans="1:14" s="40" customFormat="1" x14ac:dyDescent="0.2">
      <c r="A53" s="334" t="s">
        <v>666</v>
      </c>
      <c r="B53" s="335"/>
      <c r="C53" s="76">
        <v>41</v>
      </c>
      <c r="D53" s="63"/>
      <c r="E53" s="76">
        <v>33</v>
      </c>
      <c r="F53" s="63"/>
      <c r="G53" s="76">
        <v>32</v>
      </c>
      <c r="I53" s="76">
        <v>25</v>
      </c>
      <c r="K53" s="76">
        <v>30</v>
      </c>
      <c r="M53" s="77"/>
    </row>
    <row r="54" spans="1:14" s="40" customFormat="1" x14ac:dyDescent="0.2">
      <c r="A54" s="41" t="s">
        <v>671</v>
      </c>
      <c r="B54" s="39"/>
      <c r="C54" s="76">
        <v>42</v>
      </c>
      <c r="D54" s="63"/>
      <c r="E54" s="76">
        <v>41</v>
      </c>
      <c r="F54" s="63"/>
      <c r="G54" s="76">
        <v>41</v>
      </c>
      <c r="I54" s="76">
        <v>31</v>
      </c>
      <c r="K54" s="76">
        <v>26</v>
      </c>
      <c r="M54" s="77"/>
    </row>
    <row r="55" spans="1:14" s="40" customFormat="1" x14ac:dyDescent="0.2">
      <c r="A55" s="41" t="s">
        <v>676</v>
      </c>
      <c r="B55" s="39"/>
      <c r="C55" s="76">
        <v>16</v>
      </c>
      <c r="D55" s="63"/>
      <c r="E55" s="76">
        <v>17</v>
      </c>
      <c r="F55" s="63"/>
      <c r="G55" s="76">
        <v>17</v>
      </c>
      <c r="I55" s="76">
        <v>16</v>
      </c>
      <c r="K55" s="76">
        <v>16</v>
      </c>
      <c r="M55" s="77"/>
    </row>
    <row r="56" spans="1:14" s="40" customFormat="1" x14ac:dyDescent="0.2">
      <c r="A56" s="41" t="s">
        <v>679</v>
      </c>
      <c r="B56" s="39"/>
      <c r="C56" s="76">
        <v>61</v>
      </c>
      <c r="D56" s="63"/>
      <c r="E56" s="76">
        <v>68</v>
      </c>
      <c r="F56" s="63"/>
      <c r="G56" s="76">
        <v>66</v>
      </c>
      <c r="I56" s="76">
        <v>63</v>
      </c>
      <c r="K56" s="76">
        <v>65</v>
      </c>
      <c r="M56" s="77"/>
    </row>
    <row r="57" spans="1:14" s="40" customFormat="1" x14ac:dyDescent="0.2">
      <c r="A57" s="41" t="s">
        <v>696</v>
      </c>
      <c r="B57" s="39"/>
      <c r="C57" s="76">
        <v>34</v>
      </c>
      <c r="D57" s="63"/>
      <c r="E57" s="76">
        <v>35</v>
      </c>
      <c r="F57" s="63"/>
      <c r="G57" s="76">
        <v>36</v>
      </c>
      <c r="I57" s="76">
        <v>39</v>
      </c>
      <c r="K57" s="76">
        <v>40</v>
      </c>
      <c r="M57" s="77"/>
    </row>
    <row r="58" spans="1:14" s="40" customFormat="1" x14ac:dyDescent="0.2">
      <c r="A58" s="41" t="s">
        <v>697</v>
      </c>
      <c r="B58" s="39"/>
      <c r="C58" s="76">
        <v>19</v>
      </c>
      <c r="D58" s="63"/>
      <c r="E58" s="76">
        <v>17</v>
      </c>
      <c r="F58" s="63"/>
      <c r="G58" s="76">
        <v>17</v>
      </c>
      <c r="I58" s="76">
        <v>16</v>
      </c>
      <c r="K58" s="76">
        <v>17</v>
      </c>
      <c r="M58" s="77"/>
    </row>
    <row r="59" spans="1:14" s="40" customFormat="1" x14ac:dyDescent="0.2">
      <c r="A59" s="41" t="s">
        <v>698</v>
      </c>
      <c r="B59" s="39"/>
      <c r="C59" s="76">
        <v>14</v>
      </c>
      <c r="D59" s="63"/>
      <c r="E59" s="76">
        <v>14</v>
      </c>
      <c r="F59" s="63"/>
      <c r="G59" s="76">
        <v>13</v>
      </c>
      <c r="I59" s="76">
        <v>16</v>
      </c>
      <c r="K59" s="76">
        <v>18</v>
      </c>
      <c r="M59" s="77"/>
    </row>
    <row r="60" spans="1:14" s="40" customFormat="1" x14ac:dyDescent="0.2">
      <c r="A60" s="41" t="s">
        <v>699</v>
      </c>
      <c r="B60" s="39"/>
      <c r="C60" s="76">
        <v>17</v>
      </c>
      <c r="D60" s="63"/>
      <c r="E60" s="76">
        <v>18</v>
      </c>
      <c r="F60" s="63"/>
      <c r="G60" s="76">
        <v>18</v>
      </c>
      <c r="I60" s="76">
        <v>13</v>
      </c>
      <c r="K60" s="76">
        <v>13</v>
      </c>
      <c r="M60" s="77"/>
    </row>
    <row r="61" spans="1:14" s="40" customFormat="1" x14ac:dyDescent="0.2">
      <c r="A61" s="41" t="s">
        <v>692</v>
      </c>
      <c r="B61" s="39"/>
      <c r="C61" s="76">
        <v>13</v>
      </c>
      <c r="D61" s="63"/>
      <c r="E61" s="76">
        <v>13</v>
      </c>
      <c r="F61" s="63"/>
      <c r="G61" s="76">
        <v>14</v>
      </c>
      <c r="I61" s="76">
        <v>10</v>
      </c>
      <c r="K61" s="76">
        <v>10</v>
      </c>
      <c r="M61" s="77"/>
    </row>
    <row r="62" spans="1:14" s="40" customFormat="1" x14ac:dyDescent="0.2">
      <c r="A62" s="41" t="s">
        <v>198</v>
      </c>
      <c r="B62" s="39"/>
      <c r="C62" s="76">
        <f>SUM(C52:C61)</f>
        <v>259</v>
      </c>
      <c r="D62" s="63"/>
      <c r="E62" s="76">
        <f>SUM(E52:E61)</f>
        <v>259</v>
      </c>
      <c r="F62" s="63"/>
      <c r="G62" s="76">
        <f>SUM(G52:G61)</f>
        <v>257</v>
      </c>
      <c r="I62" s="76">
        <f>SUM(I52:I61)</f>
        <v>232</v>
      </c>
      <c r="K62" s="76">
        <f>SUM(K52:K61)</f>
        <v>238</v>
      </c>
      <c r="M62" s="76"/>
      <c r="N62" s="71"/>
    </row>
    <row r="63" spans="1:14" s="37" customFormat="1" x14ac:dyDescent="0.2">
      <c r="A63" s="35"/>
      <c r="B63" s="36"/>
      <c r="C63" s="73"/>
      <c r="D63" s="73"/>
      <c r="M63" s="108"/>
    </row>
    <row r="64" spans="1:14" s="48" customFormat="1" x14ac:dyDescent="0.2">
      <c r="A64" s="46"/>
      <c r="B64" s="47"/>
    </row>
    <row r="65" spans="1:17" s="48" customFormat="1" x14ac:dyDescent="0.2">
      <c r="A65" s="49" t="s">
        <v>200</v>
      </c>
      <c r="B65" s="50"/>
      <c r="C65" s="51"/>
      <c r="D65" s="52"/>
      <c r="E65" s="53"/>
      <c r="F65" s="52"/>
      <c r="G65" s="53"/>
      <c r="H65" s="52"/>
      <c r="I65" s="53"/>
      <c r="J65" s="52"/>
      <c r="K65" s="53"/>
      <c r="L65" s="52"/>
      <c r="M65" s="51"/>
      <c r="N65" s="52"/>
    </row>
    <row r="66" spans="1:17" ht="38.25" customHeight="1" x14ac:dyDescent="0.2">
      <c r="A66" s="1738" t="s">
        <v>640</v>
      </c>
      <c r="B66" s="1736"/>
      <c r="C66" s="1737"/>
      <c r="D66" s="1736"/>
      <c r="E66" s="1737"/>
      <c r="F66" s="1736"/>
      <c r="G66" s="1737"/>
      <c r="H66" s="1736"/>
      <c r="I66" s="1737"/>
      <c r="J66" s="1736"/>
      <c r="K66" s="1737"/>
      <c r="L66" s="1736"/>
      <c r="M66" s="1737"/>
      <c r="N66" s="1736"/>
      <c r="O66" s="54"/>
      <c r="P66" s="54"/>
      <c r="Q66" s="951"/>
    </row>
    <row r="67" spans="1:17" ht="15" customHeight="1" x14ac:dyDescent="0.2">
      <c r="A67" s="1738" t="s">
        <v>700</v>
      </c>
      <c r="B67" s="1736"/>
      <c r="C67" s="1737"/>
      <c r="D67" s="1736"/>
      <c r="E67" s="1737"/>
      <c r="F67" s="1736"/>
      <c r="G67" s="1737"/>
      <c r="H67" s="1736"/>
      <c r="I67" s="1737"/>
      <c r="J67" s="1736"/>
      <c r="K67" s="1737"/>
      <c r="L67" s="1736"/>
      <c r="M67" s="1737"/>
      <c r="N67" s="1736"/>
      <c r="O67" s="54"/>
      <c r="P67" s="54"/>
      <c r="Q67" s="951"/>
    </row>
    <row r="68" spans="1:17" ht="27.75" customHeight="1" x14ac:dyDescent="0.2">
      <c r="A68" s="1738"/>
      <c r="B68" s="1736"/>
      <c r="C68" s="1737"/>
      <c r="D68" s="1736"/>
      <c r="E68" s="1737"/>
      <c r="F68" s="1736"/>
      <c r="G68" s="1737"/>
      <c r="H68" s="1736"/>
      <c r="I68" s="1737"/>
      <c r="J68" s="1736"/>
      <c r="K68" s="1737"/>
      <c r="L68" s="1736"/>
      <c r="M68" s="1737"/>
      <c r="N68" s="1736"/>
      <c r="O68" s="54"/>
      <c r="P68" s="54"/>
    </row>
    <row r="69" spans="1:17" ht="27.75" customHeight="1" x14ac:dyDescent="0.2">
      <c r="A69" s="1735"/>
      <c r="B69" s="1736"/>
      <c r="C69" s="1737"/>
      <c r="D69" s="1736"/>
      <c r="E69" s="1737"/>
      <c r="F69" s="1736"/>
      <c r="G69" s="1737"/>
      <c r="H69" s="1736"/>
      <c r="I69" s="1737"/>
      <c r="J69" s="1736"/>
      <c r="K69" s="1737"/>
      <c r="L69" s="1736"/>
      <c r="M69" s="1737"/>
      <c r="N69" s="1736"/>
      <c r="O69" s="54"/>
      <c r="P69" s="54"/>
    </row>
    <row r="70" spans="1:17" ht="27.75" customHeight="1" x14ac:dyDescent="0.2">
      <c r="A70" s="1735"/>
      <c r="B70" s="1736"/>
      <c r="C70" s="1737"/>
      <c r="D70" s="1736"/>
      <c r="E70" s="1737"/>
      <c r="F70" s="1736"/>
      <c r="G70" s="1737"/>
      <c r="H70" s="1736"/>
      <c r="I70" s="1737"/>
      <c r="J70" s="1736"/>
      <c r="K70" s="1737"/>
      <c r="L70" s="1736"/>
      <c r="M70" s="1737"/>
      <c r="N70" s="1736"/>
      <c r="O70" s="54"/>
      <c r="P70" s="54"/>
    </row>
    <row r="71" spans="1:17" x14ac:dyDescent="0.2">
      <c r="A71" s="55"/>
      <c r="B71" s="54"/>
      <c r="C71" s="56"/>
      <c r="D71" s="54"/>
      <c r="E71" s="56"/>
      <c r="F71" s="54"/>
      <c r="G71" s="56"/>
      <c r="H71" s="54"/>
      <c r="I71" s="56"/>
      <c r="J71" s="54"/>
      <c r="K71" s="56"/>
      <c r="L71" s="54"/>
      <c r="M71" s="56"/>
      <c r="N71" s="54"/>
      <c r="O71" s="54"/>
      <c r="P71" s="54"/>
    </row>
    <row r="72" spans="1:17" x14ac:dyDescent="0.2">
      <c r="A72" s="55"/>
      <c r="B72" s="54"/>
      <c r="C72" s="54"/>
      <c r="D72" s="54"/>
      <c r="E72" s="54"/>
      <c r="F72" s="54"/>
      <c r="G72" s="54"/>
      <c r="H72" s="54"/>
      <c r="I72" s="54"/>
      <c r="J72" s="54"/>
      <c r="K72" s="54"/>
      <c r="L72" s="54"/>
      <c r="M72" s="54"/>
      <c r="N72" s="54"/>
      <c r="O72" s="54"/>
      <c r="P72" s="54"/>
    </row>
    <row r="73" spans="1:17" x14ac:dyDescent="0.2">
      <c r="A73" s="55"/>
      <c r="B73" s="54"/>
      <c r="C73" s="56"/>
      <c r="D73" s="54"/>
      <c r="E73" s="56"/>
      <c r="F73" s="54"/>
      <c r="G73" s="56"/>
      <c r="H73" s="54"/>
      <c r="I73" s="56"/>
      <c r="J73" s="54"/>
      <c r="K73" s="56"/>
      <c r="L73" s="54"/>
      <c r="M73" s="56"/>
      <c r="N73" s="54"/>
      <c r="O73" s="54"/>
      <c r="P73" s="54"/>
    </row>
    <row r="74" spans="1:17" x14ac:dyDescent="0.2">
      <c r="A74" s="55"/>
      <c r="B74" s="54"/>
      <c r="C74" s="54"/>
      <c r="D74" s="54"/>
      <c r="E74" s="54"/>
      <c r="F74" s="54"/>
      <c r="G74" s="54"/>
      <c r="H74" s="54"/>
      <c r="I74" s="54"/>
      <c r="J74" s="54"/>
      <c r="K74" s="54"/>
      <c r="L74" s="54"/>
      <c r="M74" s="54"/>
      <c r="N74" s="54"/>
      <c r="O74" s="54"/>
      <c r="P74" s="54"/>
    </row>
    <row r="75" spans="1:17" x14ac:dyDescent="0.2">
      <c r="A75" s="55"/>
      <c r="B75" s="54"/>
      <c r="C75" s="56"/>
      <c r="D75" s="54"/>
      <c r="E75" s="56"/>
      <c r="F75" s="54"/>
      <c r="G75" s="56"/>
      <c r="H75" s="54"/>
      <c r="I75" s="56"/>
      <c r="J75" s="54"/>
      <c r="K75" s="56"/>
      <c r="L75" s="54"/>
      <c r="M75" s="56"/>
      <c r="N75" s="54"/>
      <c r="O75" s="54"/>
      <c r="P75" s="54"/>
    </row>
    <row r="76" spans="1:17" x14ac:dyDescent="0.2">
      <c r="A76" s="55"/>
      <c r="B76" s="54"/>
      <c r="C76" s="54"/>
      <c r="D76" s="54"/>
      <c r="E76" s="54"/>
      <c r="F76" s="54"/>
      <c r="G76" s="54"/>
      <c r="H76" s="54"/>
      <c r="I76" s="54"/>
      <c r="J76" s="54"/>
      <c r="K76" s="54"/>
      <c r="L76" s="54"/>
      <c r="M76" s="54"/>
      <c r="N76" s="54"/>
      <c r="O76" s="54"/>
      <c r="P76" s="54"/>
    </row>
    <row r="77" spans="1:17" x14ac:dyDescent="0.2">
      <c r="A77" s="55"/>
      <c r="B77" s="54"/>
      <c r="C77" s="54"/>
      <c r="D77" s="54"/>
      <c r="E77" s="54"/>
      <c r="F77" s="54"/>
      <c r="G77" s="54"/>
      <c r="H77" s="54"/>
      <c r="I77" s="54"/>
      <c r="J77" s="54"/>
      <c r="K77" s="54"/>
      <c r="L77" s="54"/>
      <c r="M77" s="54"/>
      <c r="N77" s="54"/>
      <c r="O77" s="54"/>
      <c r="P77" s="54"/>
    </row>
    <row r="78" spans="1:17" x14ac:dyDescent="0.2">
      <c r="A78" s="55"/>
      <c r="B78" s="54"/>
      <c r="C78" s="54"/>
      <c r="D78" s="54"/>
      <c r="E78" s="54"/>
      <c r="F78" s="54"/>
      <c r="G78" s="54"/>
      <c r="H78" s="54"/>
      <c r="I78" s="54"/>
      <c r="J78" s="54"/>
      <c r="K78" s="54"/>
      <c r="L78" s="54"/>
      <c r="M78" s="54"/>
      <c r="N78" s="54"/>
      <c r="O78" s="54"/>
      <c r="P78" s="54"/>
      <c r="Q78" s="57"/>
    </row>
    <row r="79" spans="1:17" x14ac:dyDescent="0.2">
      <c r="B79" s="25"/>
      <c r="C79" s="25"/>
      <c r="D79" s="25"/>
      <c r="E79" s="58"/>
      <c r="F79" s="58"/>
      <c r="G79" s="58"/>
      <c r="H79" s="58"/>
    </row>
    <row r="80" spans="1:17"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25"/>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sheetData>
  <mergeCells count="6">
    <mergeCell ref="A70:N70"/>
    <mergeCell ref="K2:K3"/>
    <mergeCell ref="A66:N66"/>
    <mergeCell ref="A67:N67"/>
    <mergeCell ref="A68:N68"/>
    <mergeCell ref="A69:N69"/>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67" pageOrder="overThenDown"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7">
    <pageSetUpPr fitToPage="1"/>
  </sheetPr>
  <dimension ref="A1:Q10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6.85546875" style="29" customWidth="1"/>
    <col min="18" max="18" width="5.42578125" style="29" customWidth="1"/>
    <col min="19" max="19" width="9.140625" style="29"/>
    <col min="20" max="20" width="5" style="29" customWidth="1"/>
    <col min="21"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607</v>
      </c>
      <c r="C3" s="10" t="s">
        <v>608</v>
      </c>
      <c r="D3" s="6"/>
      <c r="E3" s="11"/>
      <c r="F3" s="9"/>
      <c r="G3" s="11"/>
      <c r="H3" s="6"/>
      <c r="I3" s="11"/>
      <c r="J3" s="6"/>
      <c r="K3" s="1734"/>
      <c r="L3" s="6"/>
      <c r="M3" s="11"/>
      <c r="N3" s="6"/>
    </row>
    <row r="4" spans="1:16" s="4" customFormat="1" ht="15.75" x14ac:dyDescent="0.25">
      <c r="A4" s="1" t="s">
        <v>180</v>
      </c>
      <c r="B4" s="10" t="s">
        <v>701</v>
      </c>
      <c r="C4" s="10" t="s">
        <v>16</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702</v>
      </c>
      <c r="B11" s="36"/>
      <c r="C11" s="87"/>
      <c r="D11" s="87"/>
      <c r="E11" s="87"/>
      <c r="F11" s="87"/>
      <c r="G11" s="87"/>
      <c r="I11" s="87"/>
    </row>
    <row r="12" spans="1:16" s="40" customFormat="1" x14ac:dyDescent="0.2">
      <c r="A12" s="41" t="s">
        <v>703</v>
      </c>
      <c r="B12" s="39"/>
      <c r="C12" s="414">
        <v>4</v>
      </c>
      <c r="D12" s="76"/>
      <c r="E12" s="76">
        <v>4</v>
      </c>
      <c r="F12" s="76"/>
      <c r="G12" s="76">
        <v>4</v>
      </c>
      <c r="H12" s="77"/>
      <c r="I12" s="76">
        <v>4</v>
      </c>
      <c r="J12" s="77"/>
      <c r="K12" s="76">
        <v>4</v>
      </c>
      <c r="M12" s="77"/>
    </row>
    <row r="13" spans="1:16" s="40" customFormat="1" x14ac:dyDescent="0.2">
      <c r="A13" s="41" t="s">
        <v>704</v>
      </c>
      <c r="B13" s="39"/>
      <c r="C13" s="414">
        <v>36</v>
      </c>
      <c r="D13" s="76"/>
      <c r="E13" s="76">
        <v>34</v>
      </c>
      <c r="F13" s="76"/>
      <c r="G13" s="76">
        <v>25</v>
      </c>
      <c r="H13" s="77"/>
      <c r="I13" s="76">
        <v>25</v>
      </c>
      <c r="J13" s="77"/>
      <c r="K13" s="76">
        <v>25</v>
      </c>
      <c r="M13" s="77"/>
    </row>
    <row r="14" spans="1:16" s="40" customFormat="1" x14ac:dyDescent="0.2">
      <c r="A14" s="41" t="s">
        <v>705</v>
      </c>
      <c r="B14" s="39"/>
      <c r="C14" s="414">
        <v>28</v>
      </c>
      <c r="D14" s="76"/>
      <c r="E14" s="76">
        <v>28</v>
      </c>
      <c r="F14" s="76"/>
      <c r="G14" s="76">
        <v>28</v>
      </c>
      <c r="H14" s="77"/>
      <c r="I14" s="76">
        <v>28</v>
      </c>
      <c r="J14" s="77"/>
      <c r="K14" s="76">
        <v>28</v>
      </c>
      <c r="M14" s="77"/>
    </row>
    <row r="15" spans="1:16" s="40" customFormat="1" x14ac:dyDescent="0.2">
      <c r="A15" s="41" t="s">
        <v>706</v>
      </c>
      <c r="B15" s="39"/>
      <c r="C15" s="414">
        <v>23</v>
      </c>
      <c r="D15" s="76"/>
      <c r="E15" s="76">
        <v>23</v>
      </c>
      <c r="F15" s="76"/>
      <c r="G15" s="76">
        <v>23</v>
      </c>
      <c r="H15" s="77"/>
      <c r="I15" s="76">
        <v>23</v>
      </c>
      <c r="J15" s="77"/>
      <c r="K15" s="76">
        <v>23</v>
      </c>
      <c r="M15" s="64"/>
    </row>
    <row r="16" spans="1:16" s="40" customFormat="1" x14ac:dyDescent="0.2">
      <c r="A16" s="41" t="s">
        <v>707</v>
      </c>
      <c r="B16" s="39"/>
      <c r="C16" s="414">
        <v>10</v>
      </c>
      <c r="D16" s="76"/>
      <c r="E16" s="76">
        <v>10</v>
      </c>
      <c r="F16" s="76"/>
      <c r="G16" s="76">
        <v>10</v>
      </c>
      <c r="H16" s="77"/>
      <c r="I16" s="76">
        <v>10</v>
      </c>
      <c r="J16" s="77"/>
      <c r="K16" s="76">
        <v>10</v>
      </c>
      <c r="M16" s="64"/>
    </row>
    <row r="17" spans="1:13" s="40" customFormat="1" x14ac:dyDescent="0.2">
      <c r="A17" s="41"/>
      <c r="B17" s="39"/>
      <c r="C17" s="63"/>
      <c r="D17" s="63"/>
      <c r="E17" s="63"/>
      <c r="F17" s="63"/>
      <c r="G17" s="63"/>
      <c r="I17" s="63"/>
      <c r="M17" s="64"/>
    </row>
    <row r="18" spans="1:13" s="37" customFormat="1" x14ac:dyDescent="0.2">
      <c r="A18" s="35" t="s">
        <v>194</v>
      </c>
      <c r="B18" s="36"/>
      <c r="C18" s="87"/>
      <c r="D18" s="87"/>
      <c r="E18" s="87"/>
      <c r="F18" s="87"/>
      <c r="G18" s="87"/>
      <c r="I18" s="87"/>
    </row>
    <row r="19" spans="1:13" s="40" customFormat="1" x14ac:dyDescent="0.2">
      <c r="A19" s="38" t="s">
        <v>254</v>
      </c>
      <c r="B19" s="39"/>
      <c r="C19" s="63"/>
      <c r="D19" s="63"/>
      <c r="E19" s="63"/>
      <c r="F19" s="63"/>
      <c r="G19" s="63"/>
      <c r="I19" s="63"/>
    </row>
    <row r="20" spans="1:13" s="40" customFormat="1" x14ac:dyDescent="0.2">
      <c r="A20" s="41" t="s">
        <v>332</v>
      </c>
      <c r="B20" s="39"/>
      <c r="C20" s="104">
        <v>60</v>
      </c>
      <c r="D20" s="63"/>
      <c r="E20" s="76">
        <v>59</v>
      </c>
      <c r="F20" s="63"/>
      <c r="G20" s="76"/>
      <c r="I20" s="76">
        <v>56</v>
      </c>
      <c r="K20" s="77"/>
      <c r="M20" s="77"/>
    </row>
    <row r="21" spans="1:13" s="40" customFormat="1" x14ac:dyDescent="0.2">
      <c r="A21" s="41" t="s">
        <v>256</v>
      </c>
      <c r="B21" s="39"/>
      <c r="C21" s="415">
        <v>8.1000000000000003E-2</v>
      </c>
      <c r="D21" s="63"/>
      <c r="E21" s="100">
        <v>8.1000000000000003E-2</v>
      </c>
      <c r="F21" s="63"/>
      <c r="G21" s="100"/>
      <c r="I21" s="100">
        <v>8.2000000000000003E-2</v>
      </c>
      <c r="K21" s="101"/>
      <c r="M21" s="101"/>
    </row>
    <row r="22" spans="1:13" s="40" customFormat="1" x14ac:dyDescent="0.2">
      <c r="A22" s="41" t="s">
        <v>257</v>
      </c>
      <c r="B22" s="39"/>
      <c r="C22" s="104">
        <v>170</v>
      </c>
      <c r="D22" s="63"/>
      <c r="E22" s="76">
        <v>156</v>
      </c>
      <c r="F22" s="63"/>
      <c r="G22" s="76"/>
      <c r="I22" s="76">
        <v>167</v>
      </c>
      <c r="K22" s="77"/>
      <c r="M22" s="77"/>
    </row>
    <row r="23" spans="1:13" s="40" customFormat="1" x14ac:dyDescent="0.2">
      <c r="A23" s="41" t="s">
        <v>258</v>
      </c>
      <c r="B23" s="39"/>
      <c r="C23" s="415">
        <v>0.22900000000000001</v>
      </c>
      <c r="D23" s="63"/>
      <c r="E23" s="100">
        <v>0.215</v>
      </c>
      <c r="F23" s="63"/>
      <c r="G23" s="100"/>
      <c r="I23" s="100">
        <v>0.24399999999999999</v>
      </c>
      <c r="K23" s="101"/>
      <c r="M23" s="101"/>
    </row>
    <row r="24" spans="1:13" s="40" customFormat="1" x14ac:dyDescent="0.2">
      <c r="A24" s="41" t="s">
        <v>259</v>
      </c>
      <c r="B24" s="39"/>
      <c r="C24" s="104">
        <v>230</v>
      </c>
      <c r="D24" s="63"/>
      <c r="E24" s="76">
        <v>215</v>
      </c>
      <c r="F24" s="63"/>
      <c r="G24" s="76"/>
      <c r="I24" s="76">
        <v>223</v>
      </c>
      <c r="K24" s="77"/>
      <c r="M24" s="77"/>
    </row>
    <row r="25" spans="1:13" s="40" customFormat="1" x14ac:dyDescent="0.2">
      <c r="A25" s="41" t="s">
        <v>260</v>
      </c>
      <c r="B25" s="39"/>
      <c r="C25" s="415">
        <v>0.31</v>
      </c>
      <c r="D25" s="63"/>
      <c r="E25" s="100">
        <v>0.29599999999999999</v>
      </c>
      <c r="F25" s="63"/>
      <c r="G25" s="100"/>
      <c r="I25" s="100">
        <v>0.32600000000000001</v>
      </c>
      <c r="K25" s="101"/>
      <c r="M25" s="101"/>
    </row>
    <row r="26" spans="1:13" s="37" customFormat="1" x14ac:dyDescent="0.2">
      <c r="A26" s="35" t="s">
        <v>211</v>
      </c>
      <c r="B26" s="36"/>
      <c r="C26" s="87"/>
      <c r="D26" s="87"/>
      <c r="E26" s="87"/>
      <c r="F26" s="87"/>
      <c r="G26" s="87"/>
      <c r="I26" s="87"/>
    </row>
    <row r="27" spans="1:13" s="37" customFormat="1" x14ac:dyDescent="0.2">
      <c r="A27" s="35" t="s">
        <v>195</v>
      </c>
      <c r="B27" s="36"/>
      <c r="C27" s="87"/>
      <c r="D27" s="87"/>
      <c r="E27" s="87"/>
      <c r="F27" s="87"/>
      <c r="G27" s="87"/>
      <c r="I27" s="87"/>
    </row>
    <row r="28" spans="1:13" s="40" customFormat="1" x14ac:dyDescent="0.2">
      <c r="A28" s="38" t="s">
        <v>196</v>
      </c>
      <c r="B28" s="39"/>
      <c r="C28" s="63"/>
      <c r="D28" s="63"/>
      <c r="E28" s="63"/>
      <c r="F28" s="63"/>
      <c r="G28" s="63"/>
      <c r="I28" s="63"/>
    </row>
    <row r="29" spans="1:13" s="40" customFormat="1" x14ac:dyDescent="0.2">
      <c r="A29" s="41" t="s">
        <v>708</v>
      </c>
      <c r="B29" s="39"/>
      <c r="C29" s="414">
        <v>146</v>
      </c>
      <c r="D29" s="63"/>
      <c r="E29" s="76">
        <v>144</v>
      </c>
      <c r="F29" s="63"/>
      <c r="G29" s="76">
        <v>143</v>
      </c>
      <c r="I29" s="76">
        <v>134</v>
      </c>
      <c r="K29" s="76">
        <v>135</v>
      </c>
      <c r="M29" s="77"/>
    </row>
    <row r="30" spans="1:13" s="40" customFormat="1" x14ac:dyDescent="0.2">
      <c r="A30" s="41" t="s">
        <v>261</v>
      </c>
      <c r="B30" s="39"/>
      <c r="C30" s="414">
        <v>24</v>
      </c>
      <c r="D30" s="63"/>
      <c r="E30" s="76">
        <v>23</v>
      </c>
      <c r="F30" s="63"/>
      <c r="G30" s="76">
        <v>25</v>
      </c>
      <c r="I30" s="76">
        <v>23</v>
      </c>
      <c r="K30" s="76">
        <v>23</v>
      </c>
      <c r="M30" s="77"/>
    </row>
    <row r="31" spans="1:13" s="40" customFormat="1" x14ac:dyDescent="0.2">
      <c r="A31" s="41" t="s">
        <v>262</v>
      </c>
      <c r="B31" s="39"/>
      <c r="C31" s="414">
        <v>7</v>
      </c>
      <c r="D31" s="63"/>
      <c r="E31" s="76">
        <v>6</v>
      </c>
      <c r="F31" s="63"/>
      <c r="G31" s="76">
        <v>5</v>
      </c>
      <c r="I31" s="76">
        <v>6</v>
      </c>
      <c r="K31" s="76">
        <v>6</v>
      </c>
      <c r="M31" s="77"/>
    </row>
    <row r="32" spans="1:13" s="40" customFormat="1" x14ac:dyDescent="0.2">
      <c r="A32" s="41" t="s">
        <v>198</v>
      </c>
      <c r="B32" s="39"/>
      <c r="C32" s="414">
        <f>SUM(C29:C31)</f>
        <v>177</v>
      </c>
      <c r="D32" s="63"/>
      <c r="E32" s="76">
        <f>SUM(E29:E31)</f>
        <v>173</v>
      </c>
      <c r="F32" s="63"/>
      <c r="G32" s="76">
        <f>SUM(G29:G31)</f>
        <v>173</v>
      </c>
      <c r="I32" s="76">
        <f>SUM(I29:I31)</f>
        <v>163</v>
      </c>
      <c r="K32" s="76">
        <f>SUM(K29:K31)</f>
        <v>164</v>
      </c>
      <c r="M32" s="77"/>
    </row>
    <row r="33" spans="1:17" s="40" customFormat="1" x14ac:dyDescent="0.2">
      <c r="A33" s="38" t="s">
        <v>199</v>
      </c>
      <c r="B33" s="39"/>
      <c r="C33" s="414"/>
      <c r="D33" s="63"/>
      <c r="E33" s="63"/>
      <c r="F33" s="63"/>
      <c r="G33" s="63"/>
      <c r="I33" s="63"/>
      <c r="K33" s="63"/>
    </row>
    <row r="34" spans="1:17" s="40" customFormat="1" x14ac:dyDescent="0.2">
      <c r="A34" s="41" t="s">
        <v>709</v>
      </c>
      <c r="B34" s="39" t="s">
        <v>352</v>
      </c>
      <c r="C34" s="414">
        <v>8</v>
      </c>
      <c r="D34" s="63"/>
      <c r="E34" s="76">
        <v>5</v>
      </c>
      <c r="F34" s="63"/>
      <c r="G34" s="76">
        <v>5</v>
      </c>
      <c r="I34" s="76">
        <v>5</v>
      </c>
      <c r="K34" s="76">
        <v>6</v>
      </c>
      <c r="M34" s="77"/>
    </row>
    <row r="35" spans="1:17" s="40" customFormat="1" x14ac:dyDescent="0.2">
      <c r="A35" s="41" t="s">
        <v>702</v>
      </c>
      <c r="B35" s="39"/>
      <c r="C35" s="414">
        <v>34</v>
      </c>
      <c r="D35" s="63"/>
      <c r="E35" s="76">
        <v>33</v>
      </c>
      <c r="F35" s="63"/>
      <c r="G35" s="76">
        <v>32</v>
      </c>
      <c r="I35" s="76">
        <v>23</v>
      </c>
      <c r="K35" s="76">
        <v>23</v>
      </c>
      <c r="M35" s="77"/>
    </row>
    <row r="36" spans="1:17" s="40" customFormat="1" x14ac:dyDescent="0.2">
      <c r="A36" s="41" t="s">
        <v>263</v>
      </c>
      <c r="B36" s="39" t="s">
        <v>352</v>
      </c>
      <c r="C36" s="414">
        <v>135</v>
      </c>
      <c r="D36" s="63"/>
      <c r="E36" s="76">
        <v>135</v>
      </c>
      <c r="F36" s="63"/>
      <c r="G36" s="76">
        <v>136</v>
      </c>
      <c r="I36" s="76">
        <v>135</v>
      </c>
      <c r="K36" s="76">
        <v>135</v>
      </c>
      <c r="M36" s="77"/>
    </row>
    <row r="37" spans="1:17" s="40" customFormat="1" x14ac:dyDescent="0.2">
      <c r="A37" s="41" t="s">
        <v>198</v>
      </c>
      <c r="B37" s="39"/>
      <c r="C37" s="414">
        <f>SUM(C34:C36)</f>
        <v>177</v>
      </c>
      <c r="D37" s="76"/>
      <c r="E37" s="76">
        <f>SUM(E34:E36)</f>
        <v>173</v>
      </c>
      <c r="F37" s="63"/>
      <c r="G37" s="76">
        <f>SUM(G34:G36)</f>
        <v>173</v>
      </c>
      <c r="I37" s="76">
        <f>SUM(I34:I36)</f>
        <v>163</v>
      </c>
      <c r="K37" s="76">
        <f>SUM(K34:K36)</f>
        <v>164</v>
      </c>
      <c r="M37" s="77"/>
    </row>
    <row r="38" spans="1:17" s="37" customFormat="1" x14ac:dyDescent="0.2">
      <c r="A38" s="35"/>
      <c r="B38" s="36"/>
      <c r="C38" s="87"/>
      <c r="D38" s="87"/>
      <c r="E38" s="87"/>
      <c r="F38" s="87"/>
      <c r="G38" s="87"/>
      <c r="I38" s="87"/>
    </row>
    <row r="39" spans="1:17" s="48" customFormat="1" x14ac:dyDescent="0.2">
      <c r="A39" s="46"/>
      <c r="B39" s="47"/>
    </row>
    <row r="40" spans="1:17" s="48" customFormat="1" x14ac:dyDescent="0.2">
      <c r="A40" s="49" t="s">
        <v>200</v>
      </c>
      <c r="B40" s="50"/>
      <c r="C40" s="51"/>
      <c r="D40" s="52"/>
      <c r="E40" s="53"/>
      <c r="F40" s="52"/>
      <c r="G40" s="53"/>
      <c r="H40" s="52"/>
      <c r="I40" s="53"/>
      <c r="J40" s="52"/>
      <c r="K40" s="53"/>
      <c r="L40" s="52"/>
      <c r="M40" s="51"/>
      <c r="N40" s="52"/>
    </row>
    <row r="41" spans="1:17" ht="27.75" customHeight="1" x14ac:dyDescent="0.2">
      <c r="A41" s="1738" t="s">
        <v>640</v>
      </c>
      <c r="B41" s="1736"/>
      <c r="C41" s="1737"/>
      <c r="D41" s="1736"/>
      <c r="E41" s="1737"/>
      <c r="F41" s="1736"/>
      <c r="G41" s="1737"/>
      <c r="H41" s="1736"/>
      <c r="I41" s="1737"/>
      <c r="J41" s="1736"/>
      <c r="K41" s="1737"/>
      <c r="L41" s="1736"/>
      <c r="M41" s="1737"/>
      <c r="N41" s="1736"/>
      <c r="O41" s="54"/>
      <c r="P41" s="54"/>
      <c r="Q41" s="951"/>
    </row>
    <row r="42" spans="1:17" ht="27.75" customHeight="1" x14ac:dyDescent="0.2">
      <c r="A42" s="1735"/>
      <c r="B42" s="1736"/>
      <c r="C42" s="1737"/>
      <c r="D42" s="1736"/>
      <c r="E42" s="1737"/>
      <c r="F42" s="1736"/>
      <c r="G42" s="1737"/>
      <c r="H42" s="1736"/>
      <c r="I42" s="1737"/>
      <c r="J42" s="1736"/>
      <c r="K42" s="1737"/>
      <c r="L42" s="1736"/>
      <c r="M42" s="1737"/>
      <c r="N42" s="1736"/>
      <c r="O42" s="54"/>
      <c r="P42" s="54"/>
    </row>
    <row r="43" spans="1:17" ht="27.75" customHeight="1" x14ac:dyDescent="0.2">
      <c r="A43" s="1735"/>
      <c r="B43" s="1736"/>
      <c r="C43" s="1737"/>
      <c r="D43" s="1736"/>
      <c r="E43" s="1737"/>
      <c r="F43" s="1736"/>
      <c r="G43" s="1737"/>
      <c r="H43" s="1736"/>
      <c r="I43" s="1737"/>
      <c r="J43" s="1736"/>
      <c r="K43" s="1737"/>
      <c r="L43" s="1736"/>
      <c r="M43" s="1737"/>
      <c r="N43" s="1736"/>
      <c r="O43" s="54"/>
      <c r="P43" s="54"/>
    </row>
    <row r="44" spans="1:17" ht="27.75" customHeight="1" x14ac:dyDescent="0.2">
      <c r="A44" s="1735"/>
      <c r="B44" s="1736"/>
      <c r="C44" s="1737"/>
      <c r="D44" s="1736"/>
      <c r="E44" s="1737"/>
      <c r="F44" s="1736"/>
      <c r="G44" s="1737"/>
      <c r="H44" s="1736"/>
      <c r="I44" s="1737"/>
      <c r="J44" s="1736"/>
      <c r="K44" s="1737"/>
      <c r="L44" s="1736"/>
      <c r="M44" s="1737"/>
      <c r="N44" s="1736"/>
      <c r="O44" s="54"/>
      <c r="P44" s="54"/>
    </row>
    <row r="45" spans="1:17" ht="27.75" customHeight="1" x14ac:dyDescent="0.2">
      <c r="A45" s="1735"/>
      <c r="B45" s="1736"/>
      <c r="C45" s="1737"/>
      <c r="D45" s="1736"/>
      <c r="E45" s="1737"/>
      <c r="F45" s="1736"/>
      <c r="G45" s="1737"/>
      <c r="H45" s="1736"/>
      <c r="I45" s="1737"/>
      <c r="J45" s="1736"/>
      <c r="K45" s="1737"/>
      <c r="L45" s="1736"/>
      <c r="M45" s="1737"/>
      <c r="N45" s="1736"/>
      <c r="O45" s="54"/>
      <c r="P45" s="54"/>
    </row>
    <row r="46" spans="1:17" ht="27.75" customHeight="1" x14ac:dyDescent="0.2">
      <c r="A46" s="1735"/>
      <c r="B46" s="1736"/>
      <c r="C46" s="1737"/>
      <c r="D46" s="1736"/>
      <c r="E46" s="1737"/>
      <c r="F46" s="1736"/>
      <c r="G46" s="1737"/>
      <c r="H46" s="1736"/>
      <c r="I46" s="1737"/>
      <c r="J46" s="1736"/>
      <c r="K46" s="1737"/>
      <c r="L46" s="1736"/>
      <c r="M46" s="1737"/>
      <c r="N46" s="1736"/>
      <c r="O46" s="54"/>
      <c r="P46" s="54"/>
    </row>
    <row r="47" spans="1:17" ht="27.75" customHeight="1" x14ac:dyDescent="0.2">
      <c r="A47" s="1735"/>
      <c r="B47" s="1736"/>
      <c r="C47" s="1737"/>
      <c r="D47" s="1736"/>
      <c r="E47" s="1737"/>
      <c r="F47" s="1736"/>
      <c r="G47" s="1737"/>
      <c r="H47" s="1736"/>
      <c r="I47" s="1737"/>
      <c r="J47" s="1736"/>
      <c r="K47" s="1737"/>
      <c r="L47" s="1736"/>
      <c r="M47" s="1737"/>
      <c r="N47" s="1736"/>
      <c r="O47" s="54"/>
      <c r="P47" s="54"/>
    </row>
    <row r="48" spans="1:17" ht="27.75" customHeight="1" x14ac:dyDescent="0.2">
      <c r="A48" s="1735"/>
      <c r="B48" s="1736"/>
      <c r="C48" s="1737"/>
      <c r="D48" s="1736"/>
      <c r="E48" s="1737"/>
      <c r="F48" s="1736"/>
      <c r="G48" s="1737"/>
      <c r="H48" s="1736"/>
      <c r="I48" s="1737"/>
      <c r="J48" s="1736"/>
      <c r="K48" s="1737"/>
      <c r="L48" s="1736"/>
      <c r="M48" s="1737"/>
      <c r="N48" s="1736"/>
      <c r="O48" s="54"/>
      <c r="P48" s="54"/>
    </row>
    <row r="49" spans="1:17" ht="27.75" customHeight="1" x14ac:dyDescent="0.2">
      <c r="A49" s="1735"/>
      <c r="B49" s="1736"/>
      <c r="C49" s="1737"/>
      <c r="D49" s="1736"/>
      <c r="E49" s="1737"/>
      <c r="F49" s="1736"/>
      <c r="G49" s="1737"/>
      <c r="H49" s="1736"/>
      <c r="I49" s="1737"/>
      <c r="J49" s="1736"/>
      <c r="K49" s="1737"/>
      <c r="L49" s="1736"/>
      <c r="M49" s="1737"/>
      <c r="N49" s="1736"/>
      <c r="O49" s="54"/>
      <c r="P49" s="54"/>
    </row>
    <row r="50" spans="1:17" x14ac:dyDescent="0.2">
      <c r="A50" s="55"/>
      <c r="B50" s="54"/>
      <c r="C50" s="56"/>
      <c r="D50" s="54"/>
      <c r="E50" s="56"/>
      <c r="F50" s="54"/>
      <c r="G50" s="56"/>
      <c r="H50" s="54"/>
      <c r="I50" s="56"/>
      <c r="J50" s="54"/>
      <c r="K50" s="56"/>
      <c r="L50" s="54"/>
      <c r="M50" s="56"/>
      <c r="N50" s="54"/>
      <c r="O50" s="54"/>
      <c r="P50" s="54"/>
    </row>
    <row r="51" spans="1:17" x14ac:dyDescent="0.2">
      <c r="A51" s="55"/>
      <c r="B51" s="54"/>
      <c r="C51" s="54"/>
      <c r="D51" s="54"/>
      <c r="E51" s="54"/>
      <c r="F51" s="54"/>
      <c r="G51" s="54"/>
      <c r="H51" s="54"/>
      <c r="I51" s="54"/>
      <c r="J51" s="54"/>
      <c r="K51" s="54"/>
      <c r="L51" s="54"/>
      <c r="M51" s="54"/>
      <c r="N51" s="54"/>
      <c r="O51" s="54"/>
      <c r="P51" s="54"/>
    </row>
    <row r="52" spans="1:17" x14ac:dyDescent="0.2">
      <c r="A52" s="55"/>
      <c r="B52" s="54"/>
      <c r="C52" s="56"/>
      <c r="D52" s="54"/>
      <c r="E52" s="56"/>
      <c r="F52" s="54"/>
      <c r="G52" s="56"/>
      <c r="H52" s="54"/>
      <c r="I52" s="56"/>
      <c r="J52" s="54"/>
      <c r="K52" s="56"/>
      <c r="L52" s="54"/>
      <c r="M52" s="56"/>
      <c r="N52" s="54"/>
      <c r="O52" s="54"/>
      <c r="P52" s="54"/>
    </row>
    <row r="53" spans="1:17" x14ac:dyDescent="0.2">
      <c r="A53" s="55"/>
      <c r="B53" s="54"/>
      <c r="C53" s="54"/>
      <c r="D53" s="54"/>
      <c r="E53" s="54"/>
      <c r="F53" s="54"/>
      <c r="G53" s="54"/>
      <c r="H53" s="54"/>
      <c r="I53" s="54"/>
      <c r="J53" s="54"/>
      <c r="K53" s="54"/>
      <c r="L53" s="54"/>
      <c r="M53" s="54"/>
      <c r="N53" s="54"/>
      <c r="O53" s="54"/>
      <c r="P53" s="54"/>
    </row>
    <row r="54" spans="1:17" x14ac:dyDescent="0.2">
      <c r="A54" s="55"/>
      <c r="B54" s="54"/>
      <c r="C54" s="56"/>
      <c r="D54" s="54"/>
      <c r="E54" s="56"/>
      <c r="F54" s="54"/>
      <c r="G54" s="56"/>
      <c r="H54" s="54"/>
      <c r="I54" s="56"/>
      <c r="J54" s="54"/>
      <c r="K54" s="56"/>
      <c r="L54" s="54"/>
      <c r="M54" s="56"/>
      <c r="N54" s="54"/>
      <c r="O54" s="54"/>
      <c r="P54" s="54"/>
    </row>
    <row r="55" spans="1:17" x14ac:dyDescent="0.2">
      <c r="A55" s="55"/>
      <c r="B55" s="54"/>
      <c r="C55" s="54"/>
      <c r="D55" s="54"/>
      <c r="E55" s="54"/>
      <c r="F55" s="54"/>
      <c r="G55" s="54"/>
      <c r="H55" s="54"/>
      <c r="I55" s="54"/>
      <c r="J55" s="54"/>
      <c r="K55" s="54"/>
      <c r="L55" s="54"/>
      <c r="M55" s="54"/>
      <c r="N55" s="54"/>
      <c r="O55" s="54"/>
      <c r="P55" s="54"/>
    </row>
    <row r="56" spans="1:17" x14ac:dyDescent="0.2">
      <c r="A56" s="55"/>
      <c r="B56" s="54"/>
      <c r="C56" s="54"/>
      <c r="D56" s="54"/>
      <c r="E56" s="54"/>
      <c r="F56" s="54"/>
      <c r="G56" s="54"/>
      <c r="H56" s="54"/>
      <c r="I56" s="54"/>
      <c r="J56" s="54"/>
      <c r="K56" s="54"/>
      <c r="L56" s="54"/>
      <c r="M56" s="54"/>
      <c r="N56" s="54"/>
      <c r="O56" s="54"/>
      <c r="P56" s="54"/>
    </row>
    <row r="57" spans="1:17" x14ac:dyDescent="0.2">
      <c r="A57" s="55"/>
      <c r="B57" s="54"/>
      <c r="C57" s="54"/>
      <c r="D57" s="54"/>
      <c r="E57" s="54"/>
      <c r="F57" s="54"/>
      <c r="G57" s="54"/>
      <c r="H57" s="54"/>
      <c r="I57" s="54"/>
      <c r="J57" s="54"/>
      <c r="K57" s="54"/>
      <c r="L57" s="54"/>
      <c r="M57" s="54"/>
      <c r="N57" s="54"/>
      <c r="O57" s="54"/>
      <c r="P57" s="54"/>
      <c r="Q57" s="57"/>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sheetData>
  <mergeCells count="10">
    <mergeCell ref="A47:N47"/>
    <mergeCell ref="A48:N48"/>
    <mergeCell ref="A49:N49"/>
    <mergeCell ref="K2:K3"/>
    <mergeCell ref="A41:N41"/>
    <mergeCell ref="A42:N42"/>
    <mergeCell ref="A43:N43"/>
    <mergeCell ref="A44:N44"/>
    <mergeCell ref="A45:N45"/>
    <mergeCell ref="A46:N46"/>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38">
    <pageSetUpPr fitToPage="1"/>
  </sheetPr>
  <dimension ref="A1:Q119"/>
  <sheetViews>
    <sheetView showGridLines="0" zoomScaleNormal="100" workbookViewId="0">
      <pane xSplit="2" ySplit="9" topLeftCell="C10" activePane="bottomRight" state="frozen"/>
      <selection pane="topRight" activeCell="C1" sqref="C1"/>
      <selection pane="bottomLeft" activeCell="A10" sqref="A10"/>
      <selection pane="bottomRight" activeCell="K2" sqref="K2:K3"/>
    </sheetView>
  </sheetViews>
  <sheetFormatPr defaultRowHeight="12.75" x14ac:dyDescent="0.2"/>
  <cols>
    <col min="1" max="1" width="46.855468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710</v>
      </c>
      <c r="C3" s="10" t="s">
        <v>711</v>
      </c>
      <c r="D3" s="6"/>
      <c r="E3" s="11"/>
      <c r="F3" s="9"/>
      <c r="G3" s="11"/>
      <c r="H3" s="6"/>
      <c r="I3" s="11"/>
      <c r="J3" s="6"/>
      <c r="K3" s="1734"/>
      <c r="L3" s="6"/>
      <c r="M3" s="11"/>
      <c r="N3" s="6"/>
    </row>
    <row r="4" spans="1:16" s="4" customFormat="1" ht="15.75" x14ac:dyDescent="0.25">
      <c r="A4" s="1" t="s">
        <v>180</v>
      </c>
      <c r="B4" s="10" t="s">
        <v>710</v>
      </c>
      <c r="C4" s="10" t="s">
        <v>17</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712</v>
      </c>
      <c r="B11" s="36"/>
    </row>
    <row r="12" spans="1:16" s="40" customFormat="1" x14ac:dyDescent="0.2">
      <c r="A12" s="41" t="s">
        <v>713</v>
      </c>
      <c r="B12" s="39"/>
      <c r="C12" s="78">
        <v>1113</v>
      </c>
      <c r="D12" s="74"/>
      <c r="E12" s="78">
        <v>852</v>
      </c>
      <c r="F12" s="78"/>
      <c r="G12" s="78">
        <v>1500</v>
      </c>
      <c r="H12" s="74"/>
      <c r="I12" s="78">
        <v>1400</v>
      </c>
      <c r="J12" s="74"/>
      <c r="K12" s="78">
        <v>1400</v>
      </c>
      <c r="M12" s="78"/>
    </row>
    <row r="13" spans="1:16" s="40" customFormat="1" x14ac:dyDescent="0.2">
      <c r="A13" s="41" t="s">
        <v>714</v>
      </c>
      <c r="B13" s="39"/>
      <c r="C13" s="78">
        <v>5272</v>
      </c>
      <c r="D13" s="74"/>
      <c r="E13" s="78">
        <v>3171</v>
      </c>
      <c r="F13" s="78"/>
      <c r="G13" s="78">
        <v>2500</v>
      </c>
      <c r="H13" s="74"/>
      <c r="I13" s="78">
        <v>3000</v>
      </c>
      <c r="J13" s="74"/>
      <c r="K13" s="78">
        <v>3000</v>
      </c>
      <c r="M13" s="78"/>
    </row>
    <row r="14" spans="1:16" s="40" customFormat="1" x14ac:dyDescent="0.2">
      <c r="A14" s="41" t="s">
        <v>715</v>
      </c>
      <c r="B14" s="39"/>
      <c r="C14" s="78">
        <v>17820</v>
      </c>
      <c r="D14" s="74"/>
      <c r="E14" s="78">
        <v>17935</v>
      </c>
      <c r="F14" s="78"/>
      <c r="G14" s="78">
        <v>20000</v>
      </c>
      <c r="H14" s="74"/>
      <c r="I14" s="78">
        <v>20000</v>
      </c>
      <c r="J14" s="74"/>
      <c r="K14" s="78">
        <v>20000</v>
      </c>
      <c r="M14" s="78"/>
    </row>
    <row r="15" spans="1:16" s="37" customFormat="1" x14ac:dyDescent="0.2">
      <c r="A15" s="35" t="s">
        <v>716</v>
      </c>
      <c r="B15" s="36"/>
      <c r="C15" s="73"/>
      <c r="D15" s="73"/>
      <c r="E15" s="416"/>
      <c r="F15" s="73"/>
      <c r="G15" s="73"/>
      <c r="H15" s="73"/>
      <c r="I15" s="73"/>
      <c r="J15" s="73"/>
      <c r="K15" s="416"/>
    </row>
    <row r="16" spans="1:16" s="40" customFormat="1" x14ac:dyDescent="0.2">
      <c r="A16" s="38" t="s">
        <v>717</v>
      </c>
      <c r="B16" s="39"/>
      <c r="C16" s="74"/>
      <c r="D16" s="74"/>
      <c r="E16" s="78"/>
      <c r="F16" s="74"/>
      <c r="G16" s="74"/>
      <c r="H16" s="74"/>
      <c r="I16" s="74"/>
      <c r="J16" s="74"/>
      <c r="K16" s="74"/>
      <c r="M16" s="417"/>
    </row>
    <row r="17" spans="1:15" s="40" customFormat="1" x14ac:dyDescent="0.2">
      <c r="A17" s="41" t="s">
        <v>718</v>
      </c>
      <c r="B17" s="39"/>
      <c r="C17" s="78">
        <v>17167035</v>
      </c>
      <c r="D17" s="74"/>
      <c r="E17" s="78">
        <v>16750000</v>
      </c>
      <c r="F17" s="74"/>
      <c r="G17" s="78">
        <v>17500000</v>
      </c>
      <c r="H17" s="74"/>
      <c r="I17" s="78">
        <v>17500000</v>
      </c>
      <c r="J17" s="74"/>
      <c r="K17" s="78">
        <v>17500000</v>
      </c>
      <c r="M17" s="78"/>
    </row>
    <row r="18" spans="1:15" s="40" customFormat="1" x14ac:dyDescent="0.2">
      <c r="A18" s="41" t="s">
        <v>719</v>
      </c>
      <c r="B18" s="39"/>
      <c r="C18" s="418">
        <v>10.6</v>
      </c>
      <c r="D18" s="74"/>
      <c r="E18" s="418">
        <v>9.1999999999999993</v>
      </c>
      <c r="F18" s="74"/>
      <c r="G18" s="418">
        <v>10.3</v>
      </c>
      <c r="H18" s="74"/>
      <c r="I18" s="418">
        <v>9</v>
      </c>
      <c r="J18" s="74"/>
      <c r="K18" s="418">
        <v>9.5</v>
      </c>
      <c r="M18" s="419"/>
    </row>
    <row r="19" spans="1:15" s="40" customFormat="1" x14ac:dyDescent="0.2">
      <c r="A19" s="38" t="s">
        <v>720</v>
      </c>
      <c r="B19" s="39"/>
      <c r="C19" s="74"/>
      <c r="D19" s="74"/>
      <c r="E19" s="78"/>
      <c r="F19" s="74"/>
      <c r="G19" s="74"/>
      <c r="H19" s="74"/>
      <c r="I19" s="74"/>
      <c r="J19" s="74"/>
      <c r="K19" s="74"/>
      <c r="M19" s="417"/>
    </row>
    <row r="20" spans="1:15" s="40" customFormat="1" x14ac:dyDescent="0.2">
      <c r="A20" s="41" t="s">
        <v>718</v>
      </c>
      <c r="B20" s="39"/>
      <c r="C20" s="78">
        <v>795221</v>
      </c>
      <c r="D20" s="74"/>
      <c r="E20" s="78">
        <v>763413</v>
      </c>
      <c r="F20" s="74"/>
      <c r="G20" s="78">
        <v>820000</v>
      </c>
      <c r="H20" s="74"/>
      <c r="I20" s="78">
        <v>750000</v>
      </c>
      <c r="J20" s="74"/>
      <c r="K20" s="78">
        <v>780000</v>
      </c>
      <c r="M20" s="78"/>
      <c r="O20" s="40" t="s">
        <v>352</v>
      </c>
    </row>
    <row r="21" spans="1:15" s="40" customFormat="1" x14ac:dyDescent="0.2">
      <c r="A21" s="41" t="s">
        <v>721</v>
      </c>
      <c r="B21" s="39"/>
      <c r="C21" s="202">
        <v>162000</v>
      </c>
      <c r="D21" s="202"/>
      <c r="E21" s="202">
        <v>140000</v>
      </c>
      <c r="F21" s="74"/>
      <c r="G21" s="202">
        <v>180000</v>
      </c>
      <c r="H21" s="74"/>
      <c r="I21" s="202">
        <v>130000</v>
      </c>
      <c r="J21" s="74"/>
      <c r="K21" s="202">
        <v>150000</v>
      </c>
      <c r="M21" s="202"/>
    </row>
    <row r="22" spans="1:15" s="40" customFormat="1" x14ac:dyDescent="0.2">
      <c r="A22" s="38" t="s">
        <v>722</v>
      </c>
      <c r="B22" s="39"/>
      <c r="C22" s="74"/>
      <c r="D22" s="74"/>
      <c r="E22" s="78"/>
      <c r="F22" s="74"/>
      <c r="G22" s="74"/>
      <c r="H22" s="74"/>
      <c r="I22" s="74"/>
      <c r="J22" s="74"/>
      <c r="K22" s="78"/>
      <c r="M22" s="78"/>
    </row>
    <row r="23" spans="1:15" s="40" customFormat="1" x14ac:dyDescent="0.2">
      <c r="A23" s="41" t="s">
        <v>723</v>
      </c>
      <c r="B23" s="39"/>
      <c r="C23" s="78">
        <v>4990</v>
      </c>
      <c r="D23" s="74"/>
      <c r="E23" s="78">
        <v>5376</v>
      </c>
      <c r="F23" s="74"/>
      <c r="G23" s="78">
        <v>5000</v>
      </c>
      <c r="H23" s="74"/>
      <c r="I23" s="78">
        <v>5000</v>
      </c>
      <c r="J23" s="74"/>
      <c r="K23" s="78">
        <v>5000</v>
      </c>
      <c r="M23" s="78"/>
    </row>
    <row r="24" spans="1:15" s="40" customFormat="1" x14ac:dyDescent="0.2">
      <c r="A24" s="41" t="s">
        <v>724</v>
      </c>
      <c r="B24" s="39"/>
      <c r="C24" s="78">
        <v>265066</v>
      </c>
      <c r="D24" s="74"/>
      <c r="E24" s="78">
        <v>270442</v>
      </c>
      <c r="F24" s="74"/>
      <c r="G24" s="78">
        <v>275066</v>
      </c>
      <c r="H24" s="74"/>
      <c r="I24" s="78">
        <v>275422</v>
      </c>
      <c r="J24" s="74"/>
      <c r="K24" s="78">
        <v>280422</v>
      </c>
      <c r="M24" s="78"/>
    </row>
    <row r="25" spans="1:15" s="40" customFormat="1" x14ac:dyDescent="0.2">
      <c r="A25" s="41" t="s">
        <v>725</v>
      </c>
      <c r="B25" s="39"/>
      <c r="C25" s="418">
        <v>48</v>
      </c>
      <c r="D25" s="418"/>
      <c r="E25" s="418">
        <v>40.950000000000003</v>
      </c>
      <c r="F25" s="74"/>
      <c r="G25" s="418">
        <v>50</v>
      </c>
      <c r="H25" s="74"/>
      <c r="I25" s="418">
        <v>45</v>
      </c>
      <c r="J25" s="74"/>
      <c r="K25" s="418">
        <v>45</v>
      </c>
      <c r="M25" s="418"/>
    </row>
    <row r="26" spans="1:15" s="40" customFormat="1" x14ac:dyDescent="0.2">
      <c r="A26" s="41" t="s">
        <v>726</v>
      </c>
      <c r="B26" s="39"/>
      <c r="C26" s="418">
        <v>33</v>
      </c>
      <c r="D26" s="418"/>
      <c r="E26" s="418">
        <v>34.56</v>
      </c>
      <c r="F26" s="74"/>
      <c r="G26" s="418">
        <v>35</v>
      </c>
      <c r="H26" s="74"/>
      <c r="I26" s="418">
        <v>35</v>
      </c>
      <c r="J26" s="74"/>
      <c r="K26" s="418">
        <v>35</v>
      </c>
      <c r="M26" s="418"/>
    </row>
    <row r="27" spans="1:15" s="40" customFormat="1" x14ac:dyDescent="0.2">
      <c r="A27" s="41" t="s">
        <v>727</v>
      </c>
      <c r="B27" s="39"/>
      <c r="C27" s="418">
        <v>280.39999999999998</v>
      </c>
      <c r="D27" s="418"/>
      <c r="E27" s="418">
        <v>292.85000000000002</v>
      </c>
      <c r="F27" s="74"/>
      <c r="G27" s="418">
        <v>285</v>
      </c>
      <c r="H27" s="74"/>
      <c r="I27" s="418">
        <v>295</v>
      </c>
      <c r="J27" s="74"/>
      <c r="K27" s="418">
        <v>310</v>
      </c>
      <c r="M27" s="418"/>
    </row>
    <row r="28" spans="1:15" s="40" customFormat="1" x14ac:dyDescent="0.2">
      <c r="A28" s="41" t="s">
        <v>728</v>
      </c>
      <c r="B28" s="39"/>
      <c r="C28" s="418">
        <v>4.0999999999999996</v>
      </c>
      <c r="D28" s="418"/>
      <c r="E28" s="418">
        <v>3.71</v>
      </c>
      <c r="F28" s="74"/>
      <c r="G28" s="418">
        <v>2</v>
      </c>
      <c r="H28" s="74"/>
      <c r="I28" s="418">
        <v>3</v>
      </c>
      <c r="J28" s="74"/>
      <c r="K28" s="418">
        <v>3</v>
      </c>
      <c r="M28" s="418"/>
    </row>
    <row r="29" spans="1:15" s="37" customFormat="1" x14ac:dyDescent="0.2">
      <c r="A29" s="35" t="s">
        <v>729</v>
      </c>
      <c r="B29" s="36"/>
      <c r="C29" s="73"/>
      <c r="D29" s="73"/>
      <c r="E29" s="416"/>
      <c r="F29" s="73"/>
      <c r="G29" s="73"/>
      <c r="H29" s="73"/>
      <c r="I29" s="73"/>
      <c r="J29" s="73"/>
      <c r="K29" s="73"/>
      <c r="M29" s="78"/>
    </row>
    <row r="30" spans="1:15" s="40" customFormat="1" x14ac:dyDescent="0.2">
      <c r="A30" s="41" t="s">
        <v>730</v>
      </c>
      <c r="B30" s="39"/>
      <c r="C30" s="78">
        <v>633185</v>
      </c>
      <c r="D30" s="74"/>
      <c r="E30" s="78">
        <v>608185</v>
      </c>
      <c r="F30" s="74"/>
      <c r="G30" s="78">
        <v>595000</v>
      </c>
      <c r="H30" s="74"/>
      <c r="I30" s="78">
        <v>595000</v>
      </c>
      <c r="J30" s="74"/>
      <c r="K30" s="78">
        <v>595000</v>
      </c>
      <c r="M30" s="78"/>
    </row>
    <row r="31" spans="1:15" s="40" customFormat="1" x14ac:dyDescent="0.2">
      <c r="A31" s="41" t="s">
        <v>731</v>
      </c>
      <c r="B31" s="39"/>
      <c r="C31" s="78">
        <v>60000</v>
      </c>
      <c r="D31" s="74"/>
      <c r="E31" s="78">
        <v>55000</v>
      </c>
      <c r="F31" s="74"/>
      <c r="G31" s="78">
        <v>60000</v>
      </c>
      <c r="H31" s="74"/>
      <c r="I31" s="78">
        <v>55000</v>
      </c>
      <c r="J31" s="74"/>
      <c r="K31" s="78">
        <v>55000</v>
      </c>
      <c r="M31" s="78"/>
    </row>
    <row r="32" spans="1:15" s="40" customFormat="1" x14ac:dyDescent="0.2">
      <c r="A32" s="41" t="s">
        <v>732</v>
      </c>
      <c r="B32" s="39"/>
      <c r="C32" s="78">
        <v>3535086</v>
      </c>
      <c r="D32" s="74"/>
      <c r="E32" s="78">
        <v>3689447</v>
      </c>
      <c r="F32" s="74"/>
      <c r="G32" s="78">
        <v>2800000</v>
      </c>
      <c r="H32" s="74"/>
      <c r="I32" s="78">
        <v>2800000</v>
      </c>
      <c r="J32" s="74"/>
      <c r="K32" s="78">
        <v>2800000</v>
      </c>
      <c r="M32" s="78"/>
    </row>
    <row r="33" spans="1:13" s="40" customFormat="1" x14ac:dyDescent="0.2">
      <c r="A33" s="420" t="s">
        <v>733</v>
      </c>
      <c r="B33" s="39"/>
      <c r="C33" s="74"/>
      <c r="D33" s="74"/>
      <c r="E33" s="74"/>
      <c r="F33" s="74"/>
      <c r="G33" s="74"/>
      <c r="H33" s="74"/>
      <c r="I33" s="74"/>
      <c r="J33" s="74"/>
      <c r="K33" s="74"/>
      <c r="M33" s="78"/>
    </row>
    <row r="34" spans="1:13" s="40" customFormat="1" x14ac:dyDescent="0.2">
      <c r="A34" s="421" t="s">
        <v>734</v>
      </c>
      <c r="B34" s="39"/>
      <c r="C34" s="74"/>
      <c r="D34" s="74"/>
      <c r="E34" s="74"/>
      <c r="F34" s="74"/>
      <c r="G34" s="74"/>
      <c r="H34" s="74"/>
      <c r="I34" s="74"/>
      <c r="J34" s="74"/>
      <c r="K34" s="74"/>
      <c r="M34" s="78"/>
    </row>
    <row r="35" spans="1:13" s="40" customFormat="1" x14ac:dyDescent="0.2">
      <c r="A35" s="422" t="s">
        <v>735</v>
      </c>
      <c r="B35" s="39"/>
      <c r="C35" s="417">
        <v>13.2</v>
      </c>
      <c r="D35" s="74"/>
      <c r="E35" s="417">
        <v>10</v>
      </c>
      <c r="F35" s="74"/>
      <c r="G35" s="417">
        <v>7.1</v>
      </c>
      <c r="H35" s="74"/>
      <c r="I35" s="417">
        <v>16</v>
      </c>
      <c r="J35" s="74"/>
      <c r="K35" s="417">
        <v>9</v>
      </c>
      <c r="M35" s="417"/>
    </row>
    <row r="36" spans="1:13" s="40" customFormat="1" x14ac:dyDescent="0.2">
      <c r="A36" s="41"/>
      <c r="B36" s="39"/>
    </row>
    <row r="37" spans="1:13" s="37" customFormat="1" x14ac:dyDescent="0.2">
      <c r="A37" s="35" t="s">
        <v>194</v>
      </c>
      <c r="B37" s="36"/>
    </row>
    <row r="38" spans="1:13" s="37" customFormat="1" x14ac:dyDescent="0.2">
      <c r="A38" s="35" t="s">
        <v>195</v>
      </c>
      <c r="B38" s="36"/>
    </row>
    <row r="39" spans="1:13" s="40" customFormat="1" x14ac:dyDescent="0.2">
      <c r="A39" s="38" t="s">
        <v>196</v>
      </c>
      <c r="B39" s="39"/>
      <c r="E39" s="63"/>
      <c r="G39" s="63"/>
      <c r="I39" s="63"/>
    </row>
    <row r="40" spans="1:13" s="40" customFormat="1" x14ac:dyDescent="0.2">
      <c r="A40" s="41" t="s">
        <v>197</v>
      </c>
      <c r="B40" s="39"/>
      <c r="C40" s="76">
        <v>225</v>
      </c>
      <c r="D40" s="76"/>
      <c r="E40" s="76">
        <v>531</v>
      </c>
      <c r="F40" s="63"/>
      <c r="G40" s="76">
        <v>527</v>
      </c>
      <c r="H40" s="63"/>
      <c r="I40" s="76">
        <v>519</v>
      </c>
      <c r="J40" s="63"/>
      <c r="K40" s="76">
        <v>519</v>
      </c>
      <c r="M40" s="77"/>
    </row>
    <row r="41" spans="1:13" s="40" customFormat="1" x14ac:dyDescent="0.2">
      <c r="A41" s="41" t="s">
        <v>261</v>
      </c>
      <c r="B41" s="39"/>
      <c r="C41" s="76">
        <v>2</v>
      </c>
      <c r="D41" s="76"/>
      <c r="E41" s="76">
        <v>2</v>
      </c>
      <c r="F41" s="63"/>
      <c r="G41" s="76">
        <v>2</v>
      </c>
      <c r="H41" s="63"/>
      <c r="I41" s="76">
        <v>0</v>
      </c>
      <c r="J41" s="63"/>
      <c r="K41" s="76">
        <v>0</v>
      </c>
      <c r="M41" s="77"/>
    </row>
    <row r="42" spans="1:13" s="40" customFormat="1" x14ac:dyDescent="0.2">
      <c r="A42" s="41" t="s">
        <v>262</v>
      </c>
      <c r="B42" s="39"/>
      <c r="C42" s="76">
        <v>573</v>
      </c>
      <c r="D42" s="76"/>
      <c r="E42" s="76">
        <v>263</v>
      </c>
      <c r="F42" s="63"/>
      <c r="G42" s="76">
        <v>260</v>
      </c>
      <c r="H42" s="63"/>
      <c r="I42" s="76">
        <v>269</v>
      </c>
      <c r="J42" s="63"/>
      <c r="K42" s="76">
        <v>272</v>
      </c>
      <c r="M42" s="77"/>
    </row>
    <row r="43" spans="1:13" s="40" customFormat="1" x14ac:dyDescent="0.2">
      <c r="A43" s="41" t="s">
        <v>198</v>
      </c>
      <c r="B43" s="39"/>
      <c r="C43" s="76">
        <f>SUM(C40:C42)</f>
        <v>800</v>
      </c>
      <c r="D43" s="76"/>
      <c r="E43" s="76">
        <f>SUM(E40:E42)</f>
        <v>796</v>
      </c>
      <c r="F43" s="63"/>
      <c r="G43" s="76">
        <f>SUM(G40:G42)</f>
        <v>789</v>
      </c>
      <c r="H43" s="63"/>
      <c r="I43" s="76">
        <f>SUM(I40:I42)</f>
        <v>788</v>
      </c>
      <c r="J43" s="63"/>
      <c r="K43" s="76">
        <f>SUM(K40:K42)</f>
        <v>791</v>
      </c>
      <c r="M43" s="77"/>
    </row>
    <row r="44" spans="1:13" s="40" customFormat="1" x14ac:dyDescent="0.2">
      <c r="A44" s="38" t="s">
        <v>199</v>
      </c>
      <c r="B44" s="39"/>
      <c r="C44" s="63"/>
      <c r="D44" s="63"/>
      <c r="E44" s="76"/>
      <c r="F44" s="63"/>
      <c r="G44" s="63"/>
      <c r="H44" s="63"/>
      <c r="I44" s="63"/>
      <c r="J44" s="63"/>
      <c r="K44" s="63"/>
    </row>
    <row r="45" spans="1:13" s="40" customFormat="1" x14ac:dyDescent="0.2">
      <c r="A45" s="41" t="s">
        <v>712</v>
      </c>
      <c r="B45" s="39"/>
      <c r="C45" s="76">
        <v>100</v>
      </c>
      <c r="D45" s="63"/>
      <c r="E45" s="76">
        <v>103</v>
      </c>
      <c r="F45" s="63"/>
      <c r="G45" s="76">
        <v>103</v>
      </c>
      <c r="H45" s="63"/>
      <c r="I45" s="76">
        <v>95</v>
      </c>
      <c r="J45" s="63"/>
      <c r="K45" s="76">
        <v>95</v>
      </c>
      <c r="M45" s="77"/>
    </row>
    <row r="46" spans="1:13" s="40" customFormat="1" x14ac:dyDescent="0.2">
      <c r="A46" s="41" t="s">
        <v>736</v>
      </c>
      <c r="B46" s="39"/>
      <c r="C46" s="76">
        <v>119</v>
      </c>
      <c r="D46" s="63" t="s">
        <v>737</v>
      </c>
      <c r="E46" s="76">
        <v>423</v>
      </c>
      <c r="F46" s="63"/>
      <c r="G46" s="76">
        <v>421</v>
      </c>
      <c r="H46" s="63"/>
      <c r="I46" s="76">
        <v>419</v>
      </c>
      <c r="J46" s="63"/>
      <c r="K46" s="76">
        <v>420</v>
      </c>
      <c r="M46" s="77"/>
    </row>
    <row r="47" spans="1:13" s="40" customFormat="1" x14ac:dyDescent="0.2">
      <c r="A47" s="41" t="s">
        <v>729</v>
      </c>
      <c r="B47" s="39"/>
      <c r="C47" s="76">
        <v>156</v>
      </c>
      <c r="D47" s="63"/>
      <c r="E47" s="76">
        <v>158</v>
      </c>
      <c r="F47" s="63"/>
      <c r="G47" s="76">
        <v>155</v>
      </c>
      <c r="H47" s="63"/>
      <c r="I47" s="76">
        <v>155</v>
      </c>
      <c r="J47" s="63"/>
      <c r="K47" s="76">
        <v>155</v>
      </c>
      <c r="M47" s="77"/>
    </row>
    <row r="48" spans="1:13" s="40" customFormat="1" x14ac:dyDescent="0.2">
      <c r="A48" s="41" t="s">
        <v>738</v>
      </c>
      <c r="B48" s="39"/>
      <c r="C48" s="76">
        <v>39</v>
      </c>
      <c r="D48" s="63"/>
      <c r="E48" s="76">
        <v>36</v>
      </c>
      <c r="F48" s="63"/>
      <c r="G48" s="76">
        <v>34</v>
      </c>
      <c r="H48" s="63"/>
      <c r="I48" s="76">
        <v>40</v>
      </c>
      <c r="J48" s="63"/>
      <c r="K48" s="76">
        <v>40</v>
      </c>
      <c r="M48" s="77"/>
    </row>
    <row r="49" spans="1:17" s="40" customFormat="1" x14ac:dyDescent="0.2">
      <c r="A49" s="41" t="s">
        <v>739</v>
      </c>
      <c r="B49" s="39"/>
      <c r="C49" s="76">
        <v>14</v>
      </c>
      <c r="D49" s="63"/>
      <c r="E49" s="76">
        <v>15</v>
      </c>
      <c r="F49" s="63"/>
      <c r="G49" s="76">
        <v>15</v>
      </c>
      <c r="H49" s="63"/>
      <c r="I49" s="76">
        <v>15</v>
      </c>
      <c r="J49" s="63"/>
      <c r="K49" s="76">
        <v>15</v>
      </c>
      <c r="M49" s="77"/>
    </row>
    <row r="50" spans="1:17" s="40" customFormat="1" x14ac:dyDescent="0.2">
      <c r="A50" s="41" t="s">
        <v>733</v>
      </c>
      <c r="B50" s="39"/>
      <c r="C50" s="76">
        <v>65</v>
      </c>
      <c r="D50" s="63"/>
      <c r="E50" s="76">
        <v>61</v>
      </c>
      <c r="F50" s="63"/>
      <c r="G50" s="76">
        <v>61</v>
      </c>
      <c r="H50" s="63"/>
      <c r="I50" s="76">
        <v>64</v>
      </c>
      <c r="J50" s="63"/>
      <c r="K50" s="76">
        <v>66</v>
      </c>
      <c r="M50" s="77"/>
    </row>
    <row r="51" spans="1:17" s="40" customFormat="1" ht="25.5" x14ac:dyDescent="0.2">
      <c r="A51" s="423" t="s">
        <v>740</v>
      </c>
      <c r="B51" s="39"/>
      <c r="C51" s="76">
        <v>307</v>
      </c>
      <c r="D51" s="63" t="s">
        <v>737</v>
      </c>
      <c r="E51" s="76"/>
      <c r="F51" s="63"/>
      <c r="G51" s="76"/>
      <c r="H51" s="63"/>
      <c r="I51" s="76"/>
      <c r="J51" s="63"/>
      <c r="K51" s="63"/>
      <c r="M51" s="77"/>
    </row>
    <row r="52" spans="1:17" s="40" customFormat="1" x14ac:dyDescent="0.2">
      <c r="A52" s="41" t="s">
        <v>198</v>
      </c>
      <c r="B52" s="39"/>
      <c r="C52" s="76">
        <f>SUM(C45:C51)</f>
        <v>800</v>
      </c>
      <c r="D52" s="76"/>
      <c r="E52" s="76">
        <f>SUM(E45:E51)</f>
        <v>796</v>
      </c>
      <c r="F52" s="76"/>
      <c r="G52" s="76">
        <f>SUM(G45:G51)</f>
        <v>789</v>
      </c>
      <c r="H52" s="76"/>
      <c r="I52" s="76">
        <f>SUM(I45:I51)</f>
        <v>788</v>
      </c>
      <c r="J52" s="76"/>
      <c r="K52" s="76">
        <f>SUM(K45:K51)</f>
        <v>791</v>
      </c>
      <c r="M52" s="77"/>
    </row>
    <row r="53" spans="1:17" s="37" customFormat="1" x14ac:dyDescent="0.2">
      <c r="A53" s="35"/>
      <c r="B53" s="36"/>
      <c r="C53" s="87"/>
      <c r="D53" s="87"/>
      <c r="E53" s="87"/>
      <c r="F53" s="87"/>
      <c r="G53" s="87"/>
      <c r="H53" s="87"/>
      <c r="I53" s="87"/>
      <c r="J53" s="87"/>
      <c r="K53" s="87"/>
    </row>
    <row r="54" spans="1:17" s="48" customFormat="1" x14ac:dyDescent="0.2">
      <c r="A54" s="46"/>
      <c r="B54" s="47"/>
    </row>
    <row r="55" spans="1:17" s="48" customFormat="1" x14ac:dyDescent="0.2">
      <c r="A55" s="49" t="s">
        <v>200</v>
      </c>
      <c r="B55" s="50"/>
      <c r="C55" s="51"/>
      <c r="D55" s="52"/>
      <c r="E55" s="53"/>
      <c r="F55" s="52"/>
      <c r="G55" s="53"/>
      <c r="H55" s="52"/>
      <c r="I55" s="53"/>
      <c r="J55" s="52"/>
      <c r="K55" s="53"/>
      <c r="L55" s="52"/>
      <c r="M55" s="51"/>
      <c r="N55" s="52"/>
    </row>
    <row r="56" spans="1:17" ht="39.75" customHeight="1" x14ac:dyDescent="0.2">
      <c r="A56" s="1738" t="s">
        <v>524</v>
      </c>
      <c r="B56" s="1736"/>
      <c r="C56" s="1737"/>
      <c r="D56" s="1736"/>
      <c r="E56" s="1737"/>
      <c r="F56" s="1736"/>
      <c r="G56" s="1737"/>
      <c r="H56" s="1736"/>
      <c r="I56" s="1737"/>
      <c r="J56" s="1736"/>
      <c r="K56" s="1737"/>
      <c r="L56" s="1736"/>
      <c r="M56" s="1737"/>
      <c r="N56" s="1736"/>
      <c r="O56" s="54"/>
      <c r="P56" s="54"/>
      <c r="Q56" s="951"/>
    </row>
    <row r="57" spans="1:17" ht="18" customHeight="1" x14ac:dyDescent="0.2">
      <c r="A57" s="1738" t="s">
        <v>741</v>
      </c>
      <c r="B57" s="1759"/>
      <c r="C57" s="1760"/>
      <c r="D57" s="1759"/>
      <c r="E57" s="1760"/>
      <c r="F57" s="1759"/>
      <c r="G57" s="1760"/>
      <c r="H57" s="1759"/>
      <c r="I57" s="1760"/>
      <c r="J57" s="1759"/>
      <c r="K57" s="1760"/>
      <c r="L57" s="1759"/>
      <c r="M57" s="1760"/>
      <c r="N57" s="1759"/>
      <c r="O57" s="54"/>
      <c r="P57" s="54"/>
    </row>
    <row r="58" spans="1:17" ht="27.75" customHeight="1" x14ac:dyDescent="0.2">
      <c r="A58" s="1761" t="s">
        <v>742</v>
      </c>
      <c r="B58" s="1736"/>
      <c r="C58" s="1737"/>
      <c r="D58" s="1736"/>
      <c r="E58" s="1737"/>
      <c r="F58" s="1736"/>
      <c r="G58" s="1737"/>
      <c r="H58" s="1736"/>
      <c r="I58" s="1737"/>
      <c r="J58" s="1736"/>
      <c r="K58" s="1737"/>
      <c r="L58" s="1736"/>
      <c r="M58" s="1737"/>
      <c r="N58" s="1736"/>
      <c r="O58" s="54"/>
      <c r="P58" s="54"/>
    </row>
    <row r="59" spans="1:17" ht="27.75" customHeight="1" x14ac:dyDescent="0.2">
      <c r="A59" s="1735"/>
      <c r="B59" s="1736"/>
      <c r="C59" s="1737"/>
      <c r="D59" s="1736"/>
      <c r="E59" s="1737"/>
      <c r="F59" s="1736"/>
      <c r="G59" s="1737"/>
      <c r="H59" s="1736"/>
      <c r="I59" s="1737"/>
      <c r="J59" s="1736"/>
      <c r="K59" s="1737"/>
      <c r="L59" s="1736"/>
      <c r="M59" s="1737"/>
      <c r="N59" s="1736"/>
      <c r="O59" s="54"/>
      <c r="P59" s="54"/>
    </row>
    <row r="60" spans="1:17" ht="27.75" customHeight="1" x14ac:dyDescent="0.2">
      <c r="A60" s="1735"/>
      <c r="B60" s="1736"/>
      <c r="C60" s="1737"/>
      <c r="D60" s="1736"/>
      <c r="E60" s="1737"/>
      <c r="F60" s="1736"/>
      <c r="G60" s="1737"/>
      <c r="H60" s="1736"/>
      <c r="I60" s="1737"/>
      <c r="J60" s="1736"/>
      <c r="K60" s="1737"/>
      <c r="L60" s="1736"/>
      <c r="M60" s="1737"/>
      <c r="N60" s="1736"/>
      <c r="O60" s="54"/>
      <c r="P60" s="54"/>
    </row>
    <row r="61" spans="1:17" ht="27.75" customHeight="1" x14ac:dyDescent="0.2">
      <c r="A61" s="1735"/>
      <c r="B61" s="1736"/>
      <c r="C61" s="1737"/>
      <c r="D61" s="1736"/>
      <c r="E61" s="1737"/>
      <c r="F61" s="1736"/>
      <c r="G61" s="1737"/>
      <c r="H61" s="1736"/>
      <c r="I61" s="1737"/>
      <c r="J61" s="1736"/>
      <c r="K61" s="1737"/>
      <c r="L61" s="1736"/>
      <c r="M61" s="1737"/>
      <c r="N61" s="1736"/>
      <c r="O61" s="54"/>
      <c r="P61" s="54"/>
    </row>
    <row r="62" spans="1:17" ht="27.75" customHeight="1" x14ac:dyDescent="0.2">
      <c r="A62" s="1735"/>
      <c r="B62" s="1736"/>
      <c r="C62" s="1737"/>
      <c r="D62" s="1736"/>
      <c r="E62" s="1737"/>
      <c r="F62" s="1736"/>
      <c r="G62" s="1737"/>
      <c r="H62" s="1736"/>
      <c r="I62" s="1737"/>
      <c r="J62" s="1736"/>
      <c r="K62" s="1737"/>
      <c r="L62" s="1736"/>
      <c r="M62" s="1737"/>
      <c r="N62" s="1736"/>
      <c r="O62" s="54"/>
      <c r="P62" s="54"/>
    </row>
    <row r="63" spans="1:17" ht="27.75" customHeight="1" x14ac:dyDescent="0.2">
      <c r="A63" s="1735"/>
      <c r="B63" s="1736"/>
      <c r="C63" s="1737"/>
      <c r="D63" s="1736"/>
      <c r="E63" s="1737"/>
      <c r="F63" s="1736"/>
      <c r="G63" s="1737"/>
      <c r="H63" s="1736"/>
      <c r="I63" s="1737"/>
      <c r="J63" s="1736"/>
      <c r="K63" s="1737"/>
      <c r="L63" s="1736"/>
      <c r="M63" s="1737"/>
      <c r="N63" s="1736"/>
      <c r="O63" s="54"/>
      <c r="P63" s="54"/>
    </row>
    <row r="64" spans="1:17" ht="27.75" customHeight="1" x14ac:dyDescent="0.2">
      <c r="A64" s="1735"/>
      <c r="B64" s="1736"/>
      <c r="C64" s="1737"/>
      <c r="D64" s="1736"/>
      <c r="E64" s="1737"/>
      <c r="F64" s="1736"/>
      <c r="G64" s="1737"/>
      <c r="H64" s="1736"/>
      <c r="I64" s="1737"/>
      <c r="J64" s="1736"/>
      <c r="K64" s="1737"/>
      <c r="L64" s="1736"/>
      <c r="M64" s="1737"/>
      <c r="N64" s="1736"/>
      <c r="O64" s="54"/>
      <c r="P64" s="54"/>
    </row>
    <row r="65" spans="1:17" ht="27.75" customHeight="1" x14ac:dyDescent="0.2">
      <c r="A65" s="1735"/>
      <c r="B65" s="1736"/>
      <c r="C65" s="1737"/>
      <c r="D65" s="1736"/>
      <c r="E65" s="1737"/>
      <c r="F65" s="1736"/>
      <c r="G65" s="1737"/>
      <c r="H65" s="1736"/>
      <c r="I65" s="1737"/>
      <c r="J65" s="1736"/>
      <c r="K65" s="1737"/>
      <c r="L65" s="1736"/>
      <c r="M65" s="1737"/>
      <c r="N65" s="1736"/>
      <c r="O65" s="54"/>
      <c r="P65" s="54"/>
    </row>
    <row r="66" spans="1:17" x14ac:dyDescent="0.2">
      <c r="A66" s="55"/>
      <c r="B66" s="54"/>
      <c r="C66" s="56"/>
      <c r="D66" s="54"/>
      <c r="E66" s="56"/>
      <c r="F66" s="54"/>
      <c r="G66" s="56"/>
      <c r="H66" s="54"/>
      <c r="I66" s="56"/>
      <c r="J66" s="54"/>
      <c r="K66" s="56"/>
      <c r="L66" s="54"/>
      <c r="M66" s="56"/>
      <c r="N66" s="54"/>
      <c r="O66" s="54"/>
      <c r="P66" s="54"/>
    </row>
    <row r="67" spans="1:17" x14ac:dyDescent="0.2">
      <c r="A67" s="55"/>
      <c r="B67" s="54"/>
      <c r="C67" s="54"/>
      <c r="D67" s="54"/>
      <c r="E67" s="54"/>
      <c r="F67" s="54"/>
      <c r="G67" s="54"/>
      <c r="H67" s="54"/>
      <c r="I67" s="54"/>
      <c r="J67" s="54"/>
      <c r="K67" s="54"/>
      <c r="L67" s="54"/>
      <c r="M67" s="54"/>
      <c r="N67" s="54"/>
      <c r="O67" s="54"/>
      <c r="P67" s="54"/>
    </row>
    <row r="68" spans="1:17" x14ac:dyDescent="0.2">
      <c r="A68" s="55"/>
      <c r="B68" s="54"/>
      <c r="C68" s="56"/>
      <c r="D68" s="54"/>
      <c r="E68" s="56"/>
      <c r="F68" s="54"/>
      <c r="G68" s="56"/>
      <c r="H68" s="54"/>
      <c r="I68" s="56"/>
      <c r="J68" s="54"/>
      <c r="K68" s="56"/>
      <c r="L68" s="54"/>
      <c r="M68" s="56"/>
      <c r="N68" s="54"/>
      <c r="O68" s="54"/>
      <c r="P68" s="54"/>
    </row>
    <row r="69" spans="1:17" x14ac:dyDescent="0.2">
      <c r="A69" s="55"/>
      <c r="B69" s="54"/>
      <c r="C69" s="54"/>
      <c r="D69" s="54"/>
      <c r="E69" s="54"/>
      <c r="F69" s="54"/>
      <c r="G69" s="54"/>
      <c r="H69" s="54"/>
      <c r="I69" s="54"/>
      <c r="J69" s="54"/>
      <c r="K69" s="54"/>
      <c r="L69" s="54"/>
      <c r="M69" s="54"/>
      <c r="N69" s="54"/>
      <c r="O69" s="54"/>
      <c r="P69" s="54"/>
    </row>
    <row r="70" spans="1:17" x14ac:dyDescent="0.2">
      <c r="A70" s="55"/>
      <c r="B70" s="54"/>
      <c r="C70" s="56"/>
      <c r="D70" s="54"/>
      <c r="E70" s="56"/>
      <c r="F70" s="54"/>
      <c r="G70" s="56"/>
      <c r="H70" s="54"/>
      <c r="I70" s="56"/>
      <c r="J70" s="54"/>
      <c r="K70" s="56"/>
      <c r="L70" s="54"/>
      <c r="M70" s="56"/>
      <c r="N70" s="54"/>
      <c r="O70" s="54"/>
      <c r="P70" s="54"/>
    </row>
    <row r="71" spans="1:17" x14ac:dyDescent="0.2">
      <c r="A71" s="55"/>
      <c r="B71" s="54"/>
      <c r="C71" s="54"/>
      <c r="D71" s="54"/>
      <c r="E71" s="54"/>
      <c r="F71" s="54"/>
      <c r="G71" s="54"/>
      <c r="H71" s="54"/>
      <c r="I71" s="54"/>
      <c r="J71" s="54"/>
      <c r="K71" s="54"/>
      <c r="L71" s="54"/>
      <c r="M71" s="54"/>
      <c r="N71" s="54"/>
      <c r="O71" s="54"/>
      <c r="P71" s="54"/>
    </row>
    <row r="72" spans="1:17" x14ac:dyDescent="0.2">
      <c r="A72" s="55"/>
      <c r="B72" s="54"/>
      <c r="C72" s="54"/>
      <c r="D72" s="54"/>
      <c r="E72" s="54"/>
      <c r="F72" s="54"/>
      <c r="G72" s="54"/>
      <c r="H72" s="54"/>
      <c r="I72" s="54"/>
      <c r="J72" s="54"/>
      <c r="K72" s="54"/>
      <c r="L72" s="54"/>
      <c r="M72" s="54"/>
      <c r="N72" s="54"/>
      <c r="O72" s="54"/>
      <c r="P72" s="54"/>
    </row>
    <row r="73" spans="1:17" x14ac:dyDescent="0.2">
      <c r="A73" s="55"/>
      <c r="B73" s="54"/>
      <c r="C73" s="54"/>
      <c r="D73" s="54"/>
      <c r="E73" s="54"/>
      <c r="F73" s="54"/>
      <c r="G73" s="54"/>
      <c r="H73" s="54"/>
      <c r="I73" s="54"/>
      <c r="J73" s="54"/>
      <c r="K73" s="54"/>
      <c r="L73" s="54"/>
      <c r="M73" s="54"/>
      <c r="N73" s="54"/>
      <c r="O73" s="54"/>
      <c r="P73" s="54"/>
      <c r="Q73" s="57"/>
    </row>
    <row r="74" spans="1:17" x14ac:dyDescent="0.2">
      <c r="B74" s="25"/>
      <c r="C74" s="25"/>
      <c r="D74" s="25"/>
      <c r="E74" s="58"/>
      <c r="F74" s="58"/>
      <c r="G74" s="58"/>
      <c r="H74" s="58"/>
    </row>
    <row r="75" spans="1:17" x14ac:dyDescent="0.2">
      <c r="B75" s="25"/>
      <c r="C75" s="25"/>
      <c r="D75" s="25"/>
      <c r="E75" s="58"/>
      <c r="F75" s="58"/>
      <c r="G75" s="58"/>
      <c r="H75" s="58"/>
    </row>
    <row r="76" spans="1:17" x14ac:dyDescent="0.2">
      <c r="B76" s="25"/>
      <c r="C76" s="25"/>
      <c r="D76" s="25"/>
      <c r="E76" s="58"/>
      <c r="F76" s="58"/>
      <c r="G76" s="58"/>
      <c r="H76" s="58"/>
    </row>
    <row r="77" spans="1:17" x14ac:dyDescent="0.2">
      <c r="B77" s="25"/>
      <c r="C77" s="25"/>
      <c r="D77" s="25"/>
      <c r="E77" s="58"/>
      <c r="F77" s="58"/>
      <c r="G77" s="58"/>
      <c r="H77" s="58"/>
    </row>
    <row r="78" spans="1:17" x14ac:dyDescent="0.2">
      <c r="B78" s="25"/>
      <c r="C78" s="25"/>
      <c r="D78" s="25"/>
      <c r="E78" s="58"/>
      <c r="F78" s="58"/>
      <c r="G78" s="58"/>
      <c r="H78" s="58"/>
    </row>
    <row r="79" spans="1:17" x14ac:dyDescent="0.2">
      <c r="B79" s="25"/>
      <c r="C79" s="25"/>
      <c r="D79" s="25"/>
      <c r="E79" s="58"/>
      <c r="F79" s="58"/>
      <c r="G79" s="58"/>
      <c r="H79" s="58"/>
    </row>
    <row r="80" spans="1:17"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25"/>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row>
    <row r="104" spans="2:8" x14ac:dyDescent="0.2">
      <c r="B104" s="25"/>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sheetData>
  <mergeCells count="11">
    <mergeCell ref="A62:N62"/>
    <mergeCell ref="A63:N63"/>
    <mergeCell ref="A64:N64"/>
    <mergeCell ref="A65:N65"/>
    <mergeCell ref="K2:K3"/>
    <mergeCell ref="A56:N56"/>
    <mergeCell ref="A57:N57"/>
    <mergeCell ref="A58:N58"/>
    <mergeCell ref="A59:N59"/>
    <mergeCell ref="A60:N60"/>
    <mergeCell ref="A61:N61"/>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3" pageOrder="overThenDown" orientation="portrait" blackAndWhite="1"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9">
    <pageSetUpPr fitToPage="1"/>
  </sheetPr>
  <dimension ref="A1:Q10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6" style="25" bestFit="1" customWidth="1"/>
    <col min="2" max="2" width="6.42578125" style="26" bestFit="1"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710</v>
      </c>
      <c r="C3" s="10" t="s">
        <v>711</v>
      </c>
      <c r="D3" s="6"/>
      <c r="E3" s="11"/>
      <c r="F3" s="9"/>
      <c r="G3" s="11"/>
      <c r="H3" s="6"/>
      <c r="I3" s="11"/>
      <c r="J3" s="6"/>
      <c r="K3" s="1734"/>
      <c r="L3" s="6"/>
      <c r="M3" s="11"/>
      <c r="N3" s="6"/>
    </row>
    <row r="4" spans="1:16" s="4" customFormat="1" ht="15.75" x14ac:dyDescent="0.25">
      <c r="A4" s="1" t="s">
        <v>180</v>
      </c>
      <c r="B4" s="10" t="s">
        <v>743</v>
      </c>
      <c r="C4" s="10" t="s">
        <v>18</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744</v>
      </c>
      <c r="B11" s="36"/>
    </row>
    <row r="12" spans="1:16" s="40" customFormat="1" x14ac:dyDescent="0.2">
      <c r="A12" s="41" t="s">
        <v>745</v>
      </c>
      <c r="B12" s="39"/>
    </row>
    <row r="13" spans="1:16" s="40" customFormat="1" x14ac:dyDescent="0.2">
      <c r="A13" s="90" t="s">
        <v>746</v>
      </c>
      <c r="B13" s="39"/>
      <c r="C13" s="424">
        <v>31098</v>
      </c>
      <c r="D13" s="425"/>
      <c r="E13" s="426">
        <v>32712</v>
      </c>
      <c r="F13" s="74"/>
      <c r="G13" s="78">
        <v>25000</v>
      </c>
      <c r="I13" s="78">
        <v>25000</v>
      </c>
      <c r="K13" s="78">
        <v>25000</v>
      </c>
      <c r="M13" s="77"/>
    </row>
    <row r="14" spans="1:16" s="40" customFormat="1" x14ac:dyDescent="0.2">
      <c r="A14" s="90" t="s">
        <v>747</v>
      </c>
      <c r="B14" s="39"/>
      <c r="C14" s="427">
        <v>0.78</v>
      </c>
      <c r="D14" s="428"/>
      <c r="E14" s="427">
        <v>0.78</v>
      </c>
      <c r="F14" s="81"/>
      <c r="G14" s="80">
        <v>0.78</v>
      </c>
      <c r="I14" s="80">
        <v>0.78</v>
      </c>
      <c r="K14" s="80">
        <v>0.78</v>
      </c>
      <c r="M14" s="84"/>
    </row>
    <row r="15" spans="1:16" s="40" customFormat="1" x14ac:dyDescent="0.2">
      <c r="A15" s="90" t="s">
        <v>748</v>
      </c>
      <c r="B15" s="39"/>
      <c r="C15" s="427">
        <v>0.03</v>
      </c>
      <c r="D15" s="428"/>
      <c r="E15" s="427">
        <v>0.03</v>
      </c>
      <c r="F15" s="81"/>
      <c r="G15" s="80">
        <v>0.03</v>
      </c>
      <c r="I15" s="80">
        <v>0.03</v>
      </c>
      <c r="K15" s="80">
        <v>0.03</v>
      </c>
      <c r="M15" s="84"/>
    </row>
    <row r="16" spans="1:16" s="40" customFormat="1" x14ac:dyDescent="0.2">
      <c r="A16" s="90" t="s">
        <v>749</v>
      </c>
      <c r="B16" s="39"/>
      <c r="C16" s="427">
        <v>0.11</v>
      </c>
      <c r="D16" s="428"/>
      <c r="E16" s="427">
        <v>0.11</v>
      </c>
      <c r="F16" s="81"/>
      <c r="G16" s="80">
        <v>0.11</v>
      </c>
      <c r="I16" s="80">
        <v>0.11</v>
      </c>
      <c r="K16" s="80">
        <v>0.11</v>
      </c>
      <c r="M16" s="84"/>
    </row>
    <row r="17" spans="1:13" s="40" customFormat="1" x14ac:dyDescent="0.2">
      <c r="A17" s="90" t="s">
        <v>750</v>
      </c>
      <c r="B17" s="39"/>
      <c r="C17" s="427">
        <v>0.08</v>
      </c>
      <c r="D17" s="428"/>
      <c r="E17" s="427">
        <v>0.08</v>
      </c>
      <c r="F17" s="81"/>
      <c r="G17" s="80">
        <v>0.08</v>
      </c>
      <c r="I17" s="80">
        <v>0.08</v>
      </c>
      <c r="K17" s="80">
        <v>0.08</v>
      </c>
      <c r="M17" s="84"/>
    </row>
    <row r="18" spans="1:13" s="37" customFormat="1" x14ac:dyDescent="0.2">
      <c r="A18" s="90"/>
      <c r="B18" s="39"/>
      <c r="C18" s="141"/>
    </row>
    <row r="19" spans="1:13" s="37" customFormat="1" x14ac:dyDescent="0.2">
      <c r="A19" s="35" t="s">
        <v>3048</v>
      </c>
      <c r="B19" s="36"/>
      <c r="C19" s="141"/>
    </row>
    <row r="20" spans="1:13" s="40" customFormat="1" x14ac:dyDescent="0.2">
      <c r="A20" s="41" t="s">
        <v>751</v>
      </c>
      <c r="B20" s="39"/>
      <c r="C20" s="118"/>
    </row>
    <row r="21" spans="1:13" s="40" customFormat="1" x14ac:dyDescent="0.2">
      <c r="A21" s="90" t="s">
        <v>752</v>
      </c>
      <c r="B21" s="39"/>
      <c r="C21" s="429">
        <v>133</v>
      </c>
      <c r="D21" s="429"/>
      <c r="E21" s="429">
        <v>116</v>
      </c>
      <c r="G21" s="76">
        <v>200</v>
      </c>
      <c r="I21" s="76">
        <v>200</v>
      </c>
      <c r="K21" s="76">
        <v>200</v>
      </c>
      <c r="M21" s="77"/>
    </row>
    <row r="22" spans="1:13" s="40" customFormat="1" x14ac:dyDescent="0.2">
      <c r="A22" s="90" t="s">
        <v>753</v>
      </c>
      <c r="B22" s="39"/>
      <c r="C22" s="429">
        <v>92</v>
      </c>
      <c r="D22" s="429"/>
      <c r="E22" s="429">
        <v>191</v>
      </c>
      <c r="G22" s="76">
        <v>125</v>
      </c>
      <c r="I22" s="76">
        <v>150</v>
      </c>
      <c r="K22" s="76">
        <v>150</v>
      </c>
      <c r="M22" s="77"/>
    </row>
    <row r="23" spans="1:13" s="40" customFormat="1" x14ac:dyDescent="0.2">
      <c r="A23" s="90" t="s">
        <v>754</v>
      </c>
      <c r="B23" s="39"/>
      <c r="C23" s="429">
        <v>67</v>
      </c>
      <c r="D23" s="429"/>
      <c r="E23" s="429">
        <v>61</v>
      </c>
      <c r="G23" s="76">
        <v>100</v>
      </c>
      <c r="I23" s="76">
        <v>75</v>
      </c>
      <c r="K23" s="76">
        <v>75</v>
      </c>
      <c r="M23" s="77"/>
    </row>
    <row r="24" spans="1:13" s="40" customFormat="1" x14ac:dyDescent="0.2">
      <c r="A24" s="90" t="s">
        <v>755</v>
      </c>
      <c r="B24" s="39"/>
      <c r="C24" s="429">
        <v>23</v>
      </c>
      <c r="D24" s="429"/>
      <c r="E24" s="429">
        <v>20</v>
      </c>
      <c r="G24" s="76">
        <v>20</v>
      </c>
      <c r="I24" s="76">
        <v>20</v>
      </c>
      <c r="K24" s="76">
        <v>20</v>
      </c>
      <c r="M24" s="77"/>
    </row>
    <row r="25" spans="1:13" s="37" customFormat="1" x14ac:dyDescent="0.2">
      <c r="A25" s="90"/>
      <c r="B25" s="39"/>
    </row>
    <row r="26" spans="1:13" s="141" customFormat="1" x14ac:dyDescent="0.2">
      <c r="A26" s="35" t="s">
        <v>194</v>
      </c>
      <c r="B26" s="36"/>
    </row>
    <row r="27" spans="1:13" s="141" customFormat="1" x14ac:dyDescent="0.2">
      <c r="A27" s="35" t="s">
        <v>195</v>
      </c>
      <c r="B27" s="36"/>
    </row>
    <row r="28" spans="1:13" s="141" customFormat="1" x14ac:dyDescent="0.2">
      <c r="A28" s="38" t="s">
        <v>196</v>
      </c>
      <c r="B28" s="39"/>
      <c r="C28" s="430"/>
      <c r="E28" s="111"/>
    </row>
    <row r="29" spans="1:13" s="141" customFormat="1" x14ac:dyDescent="0.2">
      <c r="A29" s="41" t="s">
        <v>197</v>
      </c>
      <c r="B29" s="39"/>
      <c r="C29" s="431">
        <v>59</v>
      </c>
      <c r="D29" s="40"/>
      <c r="E29" s="431">
        <v>57</v>
      </c>
      <c r="G29" s="431">
        <v>55</v>
      </c>
      <c r="I29" s="431">
        <v>60</v>
      </c>
      <c r="K29" s="431">
        <v>95</v>
      </c>
      <c r="L29" s="118" t="s">
        <v>290</v>
      </c>
      <c r="M29" s="432"/>
    </row>
    <row r="30" spans="1:13" s="141" customFormat="1" x14ac:dyDescent="0.2">
      <c r="A30" s="41" t="s">
        <v>261</v>
      </c>
      <c r="B30" s="39"/>
      <c r="C30" s="430">
        <v>15</v>
      </c>
      <c r="E30" s="430">
        <v>16</v>
      </c>
      <c r="G30" s="430">
        <v>16</v>
      </c>
      <c r="I30" s="430">
        <v>17</v>
      </c>
      <c r="K30" s="430">
        <v>17</v>
      </c>
      <c r="M30" s="433"/>
    </row>
    <row r="31" spans="1:13" s="40" customFormat="1" x14ac:dyDescent="0.2">
      <c r="A31" s="41" t="s">
        <v>262</v>
      </c>
      <c r="B31" s="39"/>
      <c r="C31" s="430">
        <v>329</v>
      </c>
      <c r="E31" s="430">
        <v>335</v>
      </c>
      <c r="G31" s="430">
        <v>332</v>
      </c>
      <c r="I31" s="430">
        <v>348</v>
      </c>
      <c r="K31" s="430">
        <v>321</v>
      </c>
      <c r="L31" s="118" t="s">
        <v>290</v>
      </c>
      <c r="M31" s="42"/>
    </row>
    <row r="32" spans="1:13" s="37" customFormat="1" x14ac:dyDescent="0.2">
      <c r="A32" s="41" t="s">
        <v>198</v>
      </c>
      <c r="B32" s="39"/>
      <c r="C32" s="430">
        <f>SUM(C29:C31)</f>
        <v>403</v>
      </c>
      <c r="E32" s="430">
        <f>SUM(E29:E31)</f>
        <v>408</v>
      </c>
      <c r="G32" s="430">
        <f>SUM(G29:G31)</f>
        <v>403</v>
      </c>
      <c r="I32" s="430">
        <f>SUM(I29:I31)</f>
        <v>425</v>
      </c>
      <c r="K32" s="430">
        <f>SUM(K29:K31)</f>
        <v>433</v>
      </c>
      <c r="M32" s="42"/>
    </row>
    <row r="33" spans="1:14" s="37" customFormat="1" x14ac:dyDescent="0.2">
      <c r="A33" s="38" t="s">
        <v>199</v>
      </c>
      <c r="B33" s="39"/>
      <c r="C33" s="73"/>
      <c r="E33" s="73"/>
      <c r="I33" s="73"/>
      <c r="K33" s="73"/>
    </row>
    <row r="34" spans="1:14" s="40" customFormat="1" x14ac:dyDescent="0.2">
      <c r="A34" s="41" t="s">
        <v>756</v>
      </c>
      <c r="B34" s="39"/>
      <c r="C34" s="429">
        <v>112</v>
      </c>
      <c r="E34" s="429">
        <v>110</v>
      </c>
      <c r="G34" s="429">
        <v>109</v>
      </c>
      <c r="I34" s="429">
        <v>118</v>
      </c>
      <c r="K34" s="429">
        <v>119</v>
      </c>
      <c r="M34" s="77"/>
    </row>
    <row r="35" spans="1:14" s="40" customFormat="1" x14ac:dyDescent="0.2">
      <c r="A35" s="41" t="s">
        <v>757</v>
      </c>
      <c r="B35" s="39"/>
      <c r="C35" s="429">
        <v>98</v>
      </c>
      <c r="E35" s="429">
        <v>98</v>
      </c>
      <c r="G35" s="429">
        <v>95</v>
      </c>
      <c r="I35" s="429">
        <v>102</v>
      </c>
      <c r="K35" s="429">
        <v>104</v>
      </c>
      <c r="M35" s="77"/>
    </row>
    <row r="36" spans="1:14" s="1426" customFormat="1" x14ac:dyDescent="0.2">
      <c r="A36" s="41" t="s">
        <v>3048</v>
      </c>
      <c r="B36" s="39"/>
      <c r="C36" s="429">
        <v>135</v>
      </c>
      <c r="D36" s="60"/>
      <c r="E36" s="429">
        <v>139</v>
      </c>
      <c r="F36" s="60"/>
      <c r="G36" s="429">
        <v>138</v>
      </c>
      <c r="H36" s="60"/>
      <c r="I36" s="429">
        <v>141</v>
      </c>
      <c r="J36" s="60"/>
      <c r="K36" s="429">
        <v>143</v>
      </c>
      <c r="L36" s="60"/>
      <c r="M36" s="434"/>
      <c r="N36" s="60"/>
    </row>
    <row r="37" spans="1:14" s="40" customFormat="1" x14ac:dyDescent="0.2">
      <c r="A37" s="41" t="s">
        <v>758</v>
      </c>
      <c r="B37" s="39"/>
      <c r="C37" s="429">
        <v>13</v>
      </c>
      <c r="E37" s="429">
        <v>14</v>
      </c>
      <c r="G37" s="429">
        <v>14</v>
      </c>
      <c r="I37" s="429">
        <v>15</v>
      </c>
      <c r="K37" s="429">
        <v>15</v>
      </c>
      <c r="M37" s="77"/>
    </row>
    <row r="38" spans="1:14" s="40" customFormat="1" x14ac:dyDescent="0.2">
      <c r="A38" s="41" t="s">
        <v>759</v>
      </c>
      <c r="B38" s="39"/>
      <c r="C38" s="429">
        <v>15</v>
      </c>
      <c r="E38" s="429">
        <v>14</v>
      </c>
      <c r="G38" s="429">
        <v>15</v>
      </c>
      <c r="I38" s="429">
        <v>15</v>
      </c>
      <c r="K38" s="429">
        <v>15</v>
      </c>
      <c r="M38" s="77"/>
    </row>
    <row r="39" spans="1:14" s="1426" customFormat="1" x14ac:dyDescent="0.2">
      <c r="A39" s="41" t="s">
        <v>760</v>
      </c>
      <c r="B39" s="39"/>
      <c r="C39" s="429">
        <v>5</v>
      </c>
      <c r="D39" s="60"/>
      <c r="E39" s="429">
        <v>5</v>
      </c>
      <c r="F39" s="60"/>
      <c r="G39" s="429">
        <v>5</v>
      </c>
      <c r="H39" s="60"/>
      <c r="I39" s="429">
        <v>5</v>
      </c>
      <c r="J39" s="60"/>
      <c r="K39" s="429">
        <v>6</v>
      </c>
      <c r="L39" s="60"/>
      <c r="M39" s="434"/>
      <c r="N39" s="60"/>
    </row>
    <row r="40" spans="1:14" s="40" customFormat="1" x14ac:dyDescent="0.2">
      <c r="A40" s="41" t="s">
        <v>761</v>
      </c>
      <c r="B40" s="39"/>
      <c r="C40" s="429">
        <v>25</v>
      </c>
      <c r="E40" s="429">
        <v>28</v>
      </c>
      <c r="G40" s="429">
        <v>27</v>
      </c>
      <c r="I40" s="429">
        <v>29</v>
      </c>
      <c r="K40" s="429">
        <v>31</v>
      </c>
      <c r="M40" s="77"/>
    </row>
    <row r="41" spans="1:14" s="40" customFormat="1" x14ac:dyDescent="0.2">
      <c r="A41" s="41" t="s">
        <v>198</v>
      </c>
      <c r="B41" s="39"/>
      <c r="C41" s="429">
        <f>SUM(C34:C40)</f>
        <v>403</v>
      </c>
      <c r="E41" s="424">
        <f>SUM(E34:E40)</f>
        <v>408</v>
      </c>
      <c r="G41" s="429">
        <f>SUM(G34:G40)</f>
        <v>403</v>
      </c>
      <c r="I41" s="424">
        <f>SUM(I34:I40)</f>
        <v>425</v>
      </c>
      <c r="K41" s="424">
        <f>SUM(K34:K40)</f>
        <v>433</v>
      </c>
      <c r="M41" s="77"/>
    </row>
    <row r="42" spans="1:14" s="40" customFormat="1" x14ac:dyDescent="0.2">
      <c r="A42" s="35"/>
      <c r="B42" s="36"/>
      <c r="C42" s="430"/>
    </row>
    <row r="43" spans="1:14" s="40" customFormat="1" x14ac:dyDescent="0.2">
      <c r="A43" s="49" t="s">
        <v>200</v>
      </c>
      <c r="B43" s="50"/>
      <c r="C43" s="51"/>
      <c r="D43" s="52"/>
      <c r="E43" s="53"/>
      <c r="F43" s="52"/>
      <c r="G43" s="53"/>
      <c r="H43" s="52"/>
      <c r="I43" s="53"/>
      <c r="J43" s="52"/>
      <c r="K43" s="53"/>
      <c r="L43" s="52"/>
      <c r="M43" s="51"/>
      <c r="N43" s="52"/>
    </row>
    <row r="44" spans="1:14" s="40" customFormat="1" ht="26.25" customHeight="1" x14ac:dyDescent="0.2">
      <c r="A44" s="1762" t="s">
        <v>762</v>
      </c>
      <c r="B44" s="1763"/>
      <c r="C44" s="1763"/>
      <c r="D44" s="1763"/>
      <c r="E44" s="1763"/>
      <c r="F44" s="1763"/>
      <c r="G44" s="1763"/>
      <c r="H44" s="1763"/>
      <c r="I44" s="1763"/>
      <c r="J44" s="1763"/>
      <c r="K44" s="1763"/>
      <c r="L44" s="1763"/>
      <c r="M44" s="1763"/>
      <c r="N44" s="1763"/>
    </row>
    <row r="45" spans="1:14" s="40" customFormat="1" x14ac:dyDescent="0.2">
      <c r="A45" s="1738" t="s">
        <v>763</v>
      </c>
      <c r="B45" s="1736"/>
      <c r="C45" s="1737"/>
      <c r="D45" s="1736"/>
      <c r="E45" s="1737"/>
      <c r="F45" s="1736"/>
      <c r="G45" s="1737"/>
      <c r="H45" s="1736"/>
      <c r="I45" s="1737"/>
      <c r="J45" s="1736"/>
      <c r="K45" s="1737"/>
      <c r="L45" s="1736"/>
      <c r="M45" s="1737"/>
      <c r="N45" s="1736"/>
    </row>
    <row r="46" spans="1:14" s="37" customFormat="1" ht="12.75" customHeight="1" x14ac:dyDescent="0.2"/>
    <row r="47" spans="1:14" s="48" customFormat="1" x14ac:dyDescent="0.2">
      <c r="A47" s="330"/>
      <c r="B47" s="137"/>
      <c r="C47" s="138"/>
      <c r="D47" s="137"/>
      <c r="E47" s="138"/>
      <c r="F47" s="137"/>
      <c r="G47" s="138"/>
      <c r="H47" s="137"/>
      <c r="I47" s="138"/>
      <c r="J47" s="137"/>
      <c r="K47" s="138"/>
      <c r="L47" s="137"/>
      <c r="M47" s="138"/>
      <c r="N47" s="137"/>
    </row>
    <row r="48" spans="1:14" s="48" customFormat="1" x14ac:dyDescent="0.2">
      <c r="A48" s="330"/>
      <c r="B48" s="137"/>
      <c r="C48" s="138"/>
      <c r="D48" s="137"/>
      <c r="E48" s="138"/>
      <c r="F48" s="137"/>
      <c r="G48" s="138"/>
      <c r="H48" s="137"/>
      <c r="I48" s="138"/>
      <c r="J48" s="137"/>
      <c r="K48" s="138"/>
      <c r="L48" s="137"/>
      <c r="M48" s="138"/>
      <c r="N48" s="137"/>
    </row>
    <row r="49" spans="1:16" x14ac:dyDescent="0.2">
      <c r="A49" s="329"/>
      <c r="B49" s="137"/>
      <c r="C49" s="138"/>
      <c r="D49" s="137"/>
      <c r="E49" s="138"/>
      <c r="F49" s="137"/>
      <c r="G49" s="138"/>
      <c r="H49" s="137"/>
      <c r="I49" s="138"/>
      <c r="J49" s="137"/>
      <c r="K49" s="138"/>
      <c r="L49" s="137"/>
      <c r="M49" s="138"/>
      <c r="N49" s="137"/>
      <c r="O49" s="54"/>
      <c r="P49" s="54"/>
    </row>
    <row r="50" spans="1:16" ht="27.75" customHeight="1" x14ac:dyDescent="0.2">
      <c r="O50" s="54"/>
      <c r="P50" s="54"/>
    </row>
    <row r="51" spans="1:16" ht="27.75" customHeight="1" x14ac:dyDescent="0.2">
      <c r="O51" s="54"/>
      <c r="P51" s="54"/>
    </row>
    <row r="52" spans="1:16" ht="27.75" customHeight="1" x14ac:dyDescent="0.2">
      <c r="O52" s="54"/>
      <c r="P52" s="54"/>
    </row>
    <row r="53" spans="1:16" ht="27.75" customHeight="1" x14ac:dyDescent="0.2">
      <c r="O53" s="54"/>
      <c r="P53" s="54"/>
    </row>
    <row r="54" spans="1:16" ht="27.75" customHeight="1" x14ac:dyDescent="0.2">
      <c r="O54" s="54"/>
      <c r="P54" s="54"/>
    </row>
    <row r="55" spans="1:16" ht="27.75" customHeight="1" x14ac:dyDescent="0.2">
      <c r="A55" s="55"/>
      <c r="B55" s="54"/>
      <c r="C55" s="54"/>
      <c r="D55" s="54"/>
      <c r="E55" s="54"/>
      <c r="F55" s="54"/>
      <c r="G55" s="54"/>
      <c r="H55" s="54"/>
      <c r="I55" s="54"/>
      <c r="J55" s="54"/>
      <c r="K55" s="54"/>
      <c r="L55" s="54"/>
      <c r="M55" s="54"/>
      <c r="N55" s="54"/>
      <c r="O55" s="54"/>
      <c r="P55" s="54"/>
    </row>
    <row r="56" spans="1:16" ht="27.75" customHeight="1" x14ac:dyDescent="0.2">
      <c r="A56" s="55"/>
      <c r="B56" s="54"/>
      <c r="C56" s="56"/>
      <c r="D56" s="54"/>
      <c r="E56" s="56"/>
      <c r="F56" s="54"/>
      <c r="G56" s="56"/>
      <c r="H56" s="54"/>
      <c r="I56" s="56"/>
      <c r="J56" s="54"/>
      <c r="K56" s="56"/>
      <c r="L56" s="54"/>
      <c r="M56" s="56"/>
      <c r="N56" s="54"/>
      <c r="O56" s="54"/>
      <c r="P56" s="54"/>
    </row>
    <row r="57" spans="1:16" ht="27.75" customHeight="1" x14ac:dyDescent="0.2">
      <c r="A57" s="55"/>
      <c r="B57" s="54"/>
      <c r="C57" s="107"/>
      <c r="D57" s="54"/>
      <c r="E57" s="107"/>
      <c r="F57" s="54"/>
      <c r="G57" s="107"/>
      <c r="H57" s="54"/>
      <c r="I57" s="107"/>
      <c r="J57" s="54"/>
      <c r="K57" s="107"/>
      <c r="L57" s="54"/>
      <c r="M57" s="107"/>
      <c r="N57" s="54"/>
      <c r="O57" s="54"/>
      <c r="P57" s="54"/>
    </row>
    <row r="58" spans="1:16" ht="27.75" customHeight="1" x14ac:dyDescent="0.2">
      <c r="A58" s="55"/>
      <c r="B58" s="54"/>
      <c r="C58" s="54"/>
      <c r="D58" s="54"/>
      <c r="E58" s="54"/>
      <c r="F58" s="54"/>
      <c r="G58" s="54"/>
      <c r="H58" s="54"/>
      <c r="I58" s="54"/>
      <c r="J58" s="54"/>
      <c r="K58" s="54"/>
      <c r="L58" s="54"/>
      <c r="M58" s="54"/>
      <c r="N58" s="54"/>
      <c r="O58" s="54"/>
      <c r="P58" s="54"/>
    </row>
    <row r="59" spans="1:16" x14ac:dyDescent="0.2">
      <c r="A59" s="55"/>
      <c r="B59" s="54"/>
      <c r="C59" s="54"/>
      <c r="D59" s="54"/>
      <c r="E59" s="54"/>
      <c r="F59" s="54"/>
      <c r="G59" s="54"/>
      <c r="H59" s="54"/>
      <c r="I59" s="54"/>
      <c r="J59" s="54"/>
      <c r="K59" s="54"/>
      <c r="L59" s="54"/>
      <c r="M59" s="54"/>
      <c r="N59" s="54"/>
      <c r="O59" s="54"/>
      <c r="P59" s="54"/>
    </row>
    <row r="60" spans="1:16" x14ac:dyDescent="0.2">
      <c r="B60" s="25"/>
      <c r="C60" s="25"/>
      <c r="D60" s="25"/>
      <c r="E60" s="58"/>
      <c r="F60" s="58"/>
      <c r="G60" s="58"/>
      <c r="H60" s="58"/>
      <c r="O60" s="54"/>
      <c r="P60" s="54"/>
    </row>
    <row r="61" spans="1:16" x14ac:dyDescent="0.2">
      <c r="B61" s="25"/>
      <c r="C61" s="25"/>
      <c r="D61" s="25"/>
      <c r="E61" s="58"/>
      <c r="F61" s="58"/>
      <c r="G61" s="58"/>
      <c r="H61" s="58"/>
      <c r="O61" s="54"/>
      <c r="P61" s="54"/>
    </row>
    <row r="62" spans="1:16" x14ac:dyDescent="0.2">
      <c r="B62" s="25"/>
      <c r="C62" s="25"/>
      <c r="D62" s="25"/>
      <c r="E62" s="58"/>
      <c r="F62" s="58"/>
      <c r="G62" s="58"/>
      <c r="H62" s="58"/>
      <c r="O62" s="54"/>
      <c r="P62" s="54"/>
    </row>
    <row r="63" spans="1:16" x14ac:dyDescent="0.2">
      <c r="B63" s="25"/>
      <c r="C63" s="25"/>
      <c r="D63" s="25"/>
      <c r="E63" s="58"/>
      <c r="F63" s="58"/>
      <c r="G63" s="58"/>
      <c r="H63" s="58"/>
      <c r="O63" s="54"/>
      <c r="P63" s="54"/>
    </row>
    <row r="64" spans="1:16" x14ac:dyDescent="0.2">
      <c r="B64" s="25"/>
      <c r="C64" s="25"/>
      <c r="D64" s="25"/>
      <c r="E64" s="58"/>
      <c r="F64" s="58"/>
      <c r="G64" s="58"/>
      <c r="H64" s="58"/>
      <c r="O64" s="54"/>
      <c r="P64" s="54"/>
    </row>
    <row r="65" spans="2:17" x14ac:dyDescent="0.2">
      <c r="B65" s="25"/>
      <c r="C65" s="25"/>
      <c r="D65" s="25"/>
      <c r="E65" s="58"/>
      <c r="F65" s="58"/>
      <c r="G65" s="58"/>
      <c r="H65" s="58"/>
      <c r="O65" s="54"/>
      <c r="P65" s="54"/>
      <c r="Q65" s="57"/>
    </row>
    <row r="66" spans="2:17" x14ac:dyDescent="0.2">
      <c r="B66" s="25"/>
      <c r="C66" s="25"/>
      <c r="D66" s="25"/>
      <c r="E66" s="58"/>
      <c r="F66" s="58"/>
      <c r="G66" s="58"/>
      <c r="H66" s="58"/>
    </row>
    <row r="67" spans="2:17" x14ac:dyDescent="0.2">
      <c r="B67" s="25"/>
      <c r="C67" s="25"/>
      <c r="D67" s="25"/>
      <c r="E67" s="58"/>
      <c r="F67" s="58"/>
      <c r="G67" s="58"/>
      <c r="H67" s="58"/>
    </row>
    <row r="68" spans="2:17" x14ac:dyDescent="0.2">
      <c r="B68" s="25"/>
      <c r="C68" s="25"/>
      <c r="D68" s="25"/>
      <c r="E68" s="58"/>
      <c r="F68" s="58"/>
      <c r="G68" s="58"/>
      <c r="H68" s="58"/>
    </row>
    <row r="69" spans="2:17" x14ac:dyDescent="0.2">
      <c r="B69" s="25"/>
      <c r="C69" s="25"/>
      <c r="D69" s="25"/>
      <c r="E69" s="58"/>
      <c r="F69" s="58"/>
      <c r="G69" s="58"/>
      <c r="H69" s="58"/>
    </row>
    <row r="70" spans="2:17" x14ac:dyDescent="0.2">
      <c r="B70" s="25"/>
      <c r="C70" s="25"/>
      <c r="D70" s="25"/>
      <c r="E70" s="58"/>
      <c r="F70" s="58"/>
      <c r="G70" s="58"/>
      <c r="H70" s="58"/>
    </row>
    <row r="71" spans="2:17" x14ac:dyDescent="0.2">
      <c r="B71" s="25"/>
      <c r="C71" s="25"/>
      <c r="D71" s="25"/>
      <c r="E71" s="58"/>
      <c r="F71" s="58"/>
      <c r="G71" s="58"/>
      <c r="H71" s="58"/>
    </row>
    <row r="72" spans="2:17" x14ac:dyDescent="0.2">
      <c r="B72" s="25"/>
      <c r="C72" s="25"/>
      <c r="D72" s="25"/>
      <c r="E72" s="58"/>
      <c r="F72" s="58"/>
      <c r="G72" s="58"/>
      <c r="H72" s="58"/>
    </row>
    <row r="73" spans="2:17" x14ac:dyDescent="0.2">
      <c r="B73" s="25"/>
      <c r="C73" s="25"/>
      <c r="D73" s="25"/>
      <c r="E73" s="58"/>
      <c r="F73" s="58"/>
      <c r="G73" s="58"/>
      <c r="H73" s="58"/>
    </row>
    <row r="74" spans="2:17" x14ac:dyDescent="0.2">
      <c r="B74" s="25"/>
      <c r="C74" s="25"/>
      <c r="D74" s="25"/>
      <c r="E74" s="58"/>
      <c r="F74" s="58"/>
      <c r="G74" s="58"/>
      <c r="H74" s="58"/>
    </row>
    <row r="75" spans="2:17" x14ac:dyDescent="0.2">
      <c r="B75" s="25"/>
      <c r="C75" s="25"/>
      <c r="D75" s="25"/>
      <c r="E75" s="58"/>
      <c r="F75" s="58"/>
      <c r="G75" s="58"/>
      <c r="H75" s="58"/>
    </row>
    <row r="76" spans="2:17" x14ac:dyDescent="0.2">
      <c r="B76" s="25"/>
      <c r="C76" s="25"/>
      <c r="D76" s="25"/>
      <c r="E76" s="58"/>
      <c r="F76" s="58"/>
      <c r="G76" s="58"/>
      <c r="H76" s="58"/>
    </row>
    <row r="77" spans="2:17" x14ac:dyDescent="0.2">
      <c r="B77" s="25"/>
      <c r="C77" s="25"/>
      <c r="D77" s="25"/>
      <c r="E77" s="58"/>
      <c r="F77" s="58"/>
      <c r="G77" s="58"/>
      <c r="H77" s="58"/>
    </row>
    <row r="78" spans="2:17" x14ac:dyDescent="0.2">
      <c r="B78" s="25"/>
      <c r="C78" s="25"/>
      <c r="D78" s="25"/>
      <c r="E78" s="58"/>
      <c r="F78" s="58"/>
      <c r="G78" s="58"/>
      <c r="H78" s="58"/>
    </row>
    <row r="79" spans="2:17" x14ac:dyDescent="0.2">
      <c r="B79" s="25"/>
      <c r="C79" s="25"/>
      <c r="D79" s="25"/>
      <c r="E79" s="58"/>
      <c r="F79" s="58"/>
      <c r="G79" s="58"/>
      <c r="H79" s="58"/>
    </row>
    <row r="80" spans="2:17"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sheetData>
  <mergeCells count="3">
    <mergeCell ref="A44:N44"/>
    <mergeCell ref="A45:N45"/>
    <mergeCell ref="K2:K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78" fitToHeight="99"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0">
    <pageSetUpPr fitToPage="1"/>
  </sheetPr>
  <dimension ref="A1:O11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2"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3.42578125" style="29" customWidth="1"/>
    <col min="16" max="16384" width="9.140625" style="29"/>
  </cols>
  <sheetData>
    <row r="1" spans="1:14" s="4" customFormat="1" ht="15.75" x14ac:dyDescent="0.2">
      <c r="A1" s="1" t="s">
        <v>174</v>
      </c>
      <c r="B1" s="2">
        <v>2019</v>
      </c>
      <c r="C1" s="3"/>
      <c r="E1" s="3"/>
      <c r="G1" s="5"/>
      <c r="I1" s="5"/>
      <c r="J1" s="6"/>
      <c r="K1" s="5"/>
      <c r="L1" s="6"/>
      <c r="M1" s="5"/>
      <c r="N1" s="6"/>
    </row>
    <row r="2" spans="1:14" s="4" customFormat="1" ht="15.75" x14ac:dyDescent="0.25">
      <c r="A2" s="1" t="s">
        <v>175</v>
      </c>
      <c r="B2" s="7" t="s">
        <v>176</v>
      </c>
      <c r="C2" s="7" t="s">
        <v>0</v>
      </c>
      <c r="D2" s="6"/>
      <c r="E2" s="8"/>
      <c r="F2" s="9"/>
      <c r="G2" s="8"/>
      <c r="H2" s="6"/>
      <c r="I2" s="8"/>
      <c r="J2" s="6"/>
      <c r="K2" s="1733" t="s">
        <v>171</v>
      </c>
      <c r="L2" s="6"/>
      <c r="M2" s="8"/>
      <c r="N2" s="6"/>
    </row>
    <row r="3" spans="1:14" s="4" customFormat="1" ht="15.75" x14ac:dyDescent="0.25">
      <c r="A3" s="1" t="s">
        <v>177</v>
      </c>
      <c r="B3" s="10" t="s">
        <v>710</v>
      </c>
      <c r="C3" s="10" t="s">
        <v>711</v>
      </c>
      <c r="D3" s="6"/>
      <c r="E3" s="11"/>
      <c r="F3" s="9"/>
      <c r="G3" s="11"/>
      <c r="H3" s="6"/>
      <c r="I3" s="11"/>
      <c r="J3" s="6"/>
      <c r="K3" s="1734"/>
      <c r="L3" s="6"/>
      <c r="M3" s="11"/>
      <c r="N3" s="6"/>
    </row>
    <row r="4" spans="1:14" s="4" customFormat="1" ht="15.75" x14ac:dyDescent="0.25">
      <c r="A4" s="1" t="s">
        <v>180</v>
      </c>
      <c r="B4" s="10" t="s">
        <v>764</v>
      </c>
      <c r="C4" s="10" t="s">
        <v>19</v>
      </c>
      <c r="D4" s="6"/>
      <c r="E4" s="11"/>
      <c r="F4" s="9"/>
      <c r="G4" s="11"/>
      <c r="H4" s="6"/>
      <c r="I4" s="11"/>
      <c r="J4" s="6"/>
      <c r="K4" s="11"/>
      <c r="L4" s="6"/>
      <c r="M4" s="11"/>
      <c r="N4" s="6"/>
    </row>
    <row r="5" spans="1:14" s="4" customFormat="1" ht="15.75" x14ac:dyDescent="0.2">
      <c r="A5" s="1" t="s">
        <v>183</v>
      </c>
      <c r="B5" s="12" t="s">
        <v>211</v>
      </c>
      <c r="C5" s="12" t="s">
        <v>211</v>
      </c>
      <c r="D5" s="13"/>
      <c r="E5" s="14"/>
      <c r="G5" s="14"/>
      <c r="I5" s="14"/>
      <c r="K5" s="14"/>
      <c r="M5" s="14"/>
    </row>
    <row r="6" spans="1:14" s="4" customFormat="1" ht="15.75" x14ac:dyDescent="0.25">
      <c r="A6" s="15" t="s">
        <v>186</v>
      </c>
      <c r="B6" s="16">
        <v>4</v>
      </c>
      <c r="C6" s="17"/>
      <c r="D6" s="18"/>
      <c r="E6" s="19"/>
      <c r="F6" s="9"/>
      <c r="G6" s="8"/>
      <c r="H6" s="6"/>
      <c r="I6" s="8"/>
      <c r="J6" s="6"/>
      <c r="K6" s="8"/>
      <c r="L6" s="6"/>
      <c r="M6" s="8"/>
      <c r="N6" s="6"/>
    </row>
    <row r="7" spans="1:14" s="24" customFormat="1" x14ac:dyDescent="0.2">
      <c r="A7" s="20"/>
      <c r="B7" s="21"/>
      <c r="C7" s="22"/>
      <c r="D7" s="23"/>
      <c r="E7" s="22"/>
      <c r="F7" s="23"/>
      <c r="G7" s="22"/>
      <c r="H7" s="23"/>
      <c r="I7" s="22"/>
      <c r="J7" s="23"/>
      <c r="K7" s="22" t="s">
        <v>187</v>
      </c>
      <c r="L7" s="23"/>
      <c r="M7" s="22" t="s">
        <v>187</v>
      </c>
      <c r="N7" s="23"/>
    </row>
    <row r="8" spans="1:14" x14ac:dyDescent="0.2">
      <c r="C8" s="27" t="s">
        <v>188</v>
      </c>
      <c r="D8" s="28" t="s">
        <v>189</v>
      </c>
      <c r="E8" s="27" t="s">
        <v>188</v>
      </c>
      <c r="F8" s="28" t="s">
        <v>189</v>
      </c>
      <c r="G8" s="27" t="s">
        <v>190</v>
      </c>
      <c r="H8" s="28" t="s">
        <v>189</v>
      </c>
      <c r="I8" s="27" t="s">
        <v>191</v>
      </c>
      <c r="J8" s="28" t="s">
        <v>189</v>
      </c>
      <c r="K8" s="27" t="s">
        <v>192</v>
      </c>
      <c r="L8" s="28" t="s">
        <v>189</v>
      </c>
      <c r="M8" s="27" t="s">
        <v>192</v>
      </c>
      <c r="N8" s="28" t="s">
        <v>189</v>
      </c>
    </row>
    <row r="9" spans="1:14"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4" s="37" customFormat="1" x14ac:dyDescent="0.2">
      <c r="A10" s="35" t="s">
        <v>222</v>
      </c>
      <c r="B10" s="36"/>
    </row>
    <row r="11" spans="1:14" s="40" customFormat="1" x14ac:dyDescent="0.2">
      <c r="A11" s="35" t="s">
        <v>765</v>
      </c>
      <c r="B11" s="36"/>
    </row>
    <row r="12" spans="1:14" s="40" customFormat="1" x14ac:dyDescent="0.2">
      <c r="A12" s="41" t="s">
        <v>766</v>
      </c>
      <c r="B12" s="39"/>
      <c r="E12" s="63"/>
    </row>
    <row r="13" spans="1:14" s="40" customFormat="1" ht="12.75" customHeight="1" x14ac:dyDescent="0.2">
      <c r="A13" s="90" t="s">
        <v>767</v>
      </c>
      <c r="B13" s="39"/>
      <c r="C13" s="243">
        <v>20192333</v>
      </c>
      <c r="D13" s="435"/>
      <c r="E13" s="243">
        <v>21247583</v>
      </c>
      <c r="F13" s="74"/>
      <c r="G13" s="436">
        <v>21600009</v>
      </c>
      <c r="I13" s="243">
        <v>21400009</v>
      </c>
      <c r="K13" s="243">
        <v>21400009</v>
      </c>
      <c r="M13" s="77"/>
    </row>
    <row r="14" spans="1:14" s="40" customFormat="1" x14ac:dyDescent="0.2">
      <c r="A14" s="90" t="s">
        <v>768</v>
      </c>
      <c r="B14" s="39"/>
      <c r="C14" s="437">
        <v>12.58</v>
      </c>
      <c r="D14" s="435"/>
      <c r="E14" s="437">
        <v>13.24</v>
      </c>
      <c r="F14" s="74"/>
      <c r="G14" s="438">
        <v>13.11</v>
      </c>
      <c r="I14" s="437">
        <v>13</v>
      </c>
      <c r="K14" s="437">
        <v>13</v>
      </c>
      <c r="M14" s="64"/>
    </row>
    <row r="15" spans="1:14" s="40" customFormat="1" x14ac:dyDescent="0.2">
      <c r="A15" s="90" t="s">
        <v>769</v>
      </c>
      <c r="B15" s="39"/>
      <c r="C15" s="243">
        <v>11000068</v>
      </c>
      <c r="D15" s="435"/>
      <c r="E15" s="243">
        <v>12793044</v>
      </c>
      <c r="F15" s="74"/>
      <c r="G15" s="436">
        <v>13100000</v>
      </c>
      <c r="I15" s="243">
        <v>13000000</v>
      </c>
      <c r="K15" s="243">
        <v>13000000</v>
      </c>
      <c r="M15" s="77"/>
    </row>
    <row r="16" spans="1:14" s="40" customFormat="1" x14ac:dyDescent="0.2">
      <c r="A16" s="90" t="s">
        <v>770</v>
      </c>
      <c r="B16" s="39"/>
      <c r="C16" s="437">
        <v>6.85</v>
      </c>
      <c r="D16" s="435"/>
      <c r="E16" s="437">
        <v>7.97</v>
      </c>
      <c r="F16" s="74"/>
      <c r="G16" s="438">
        <v>7.95</v>
      </c>
      <c r="I16" s="437">
        <v>7.89</v>
      </c>
      <c r="K16" s="437">
        <v>7.89</v>
      </c>
      <c r="M16" s="64"/>
    </row>
    <row r="17" spans="1:13" s="40" customFormat="1" x14ac:dyDescent="0.2">
      <c r="A17" s="90" t="s">
        <v>771</v>
      </c>
      <c r="B17" s="39"/>
      <c r="C17" s="439">
        <v>0.54</v>
      </c>
      <c r="D17" s="440"/>
      <c r="E17" s="439">
        <v>0.6</v>
      </c>
      <c r="F17" s="441"/>
      <c r="G17" s="442">
        <v>0.61</v>
      </c>
      <c r="I17" s="439">
        <v>0.61</v>
      </c>
      <c r="K17" s="439">
        <v>0.61</v>
      </c>
      <c r="M17" s="101"/>
    </row>
    <row r="18" spans="1:13" s="40" customFormat="1" ht="12.75" hidden="1" customHeight="1" x14ac:dyDescent="0.2">
      <c r="A18" s="41" t="s">
        <v>772</v>
      </c>
      <c r="B18" s="39"/>
      <c r="C18" s="443"/>
      <c r="D18" s="435"/>
      <c r="E18" s="443"/>
      <c r="F18" s="74"/>
      <c r="G18" s="436"/>
      <c r="I18" s="443"/>
      <c r="K18" s="443"/>
      <c r="M18" s="77"/>
    </row>
    <row r="19" spans="1:13" s="40" customFormat="1" ht="12.75" hidden="1" customHeight="1" x14ac:dyDescent="0.2">
      <c r="A19" s="90" t="s">
        <v>773</v>
      </c>
      <c r="B19" s="39"/>
      <c r="C19" s="443"/>
      <c r="D19" s="435"/>
      <c r="E19" s="443"/>
      <c r="F19" s="74"/>
      <c r="G19" s="436"/>
      <c r="I19" s="443"/>
      <c r="K19" s="443"/>
      <c r="M19" s="77"/>
    </row>
    <row r="20" spans="1:13" s="40" customFormat="1" ht="12.75" hidden="1" customHeight="1" x14ac:dyDescent="0.2">
      <c r="A20" s="90" t="s">
        <v>774</v>
      </c>
      <c r="B20" s="39"/>
      <c r="C20" s="443"/>
      <c r="D20" s="435"/>
      <c r="E20" s="443"/>
      <c r="F20" s="74"/>
      <c r="G20" s="436"/>
      <c r="I20" s="443"/>
      <c r="K20" s="443"/>
      <c r="M20" s="77"/>
    </row>
    <row r="21" spans="1:13" s="40" customFormat="1" x14ac:dyDescent="0.2">
      <c r="A21" s="35" t="s">
        <v>775</v>
      </c>
      <c r="B21" s="36"/>
      <c r="C21" s="443"/>
      <c r="D21" s="435"/>
      <c r="E21" s="443"/>
      <c r="F21" s="74"/>
      <c r="G21" s="436"/>
      <c r="I21" s="443"/>
      <c r="K21" s="443"/>
    </row>
    <row r="22" spans="1:13" s="40" customFormat="1" x14ac:dyDescent="0.2">
      <c r="A22" s="444" t="s">
        <v>776</v>
      </c>
      <c r="B22" s="36"/>
      <c r="C22" s="414">
        <v>14202</v>
      </c>
      <c r="D22" s="435"/>
      <c r="E22" s="414">
        <f>SUM(E23:E25)</f>
        <v>14306</v>
      </c>
      <c r="F22" s="74"/>
      <c r="G22" s="436">
        <v>13800</v>
      </c>
      <c r="I22" s="414">
        <f>SUM(I23:I25)</f>
        <v>14750</v>
      </c>
      <c r="K22" s="414">
        <f>SUM(K23:K25)</f>
        <v>14750</v>
      </c>
      <c r="M22" s="77"/>
    </row>
    <row r="23" spans="1:13" s="40" customFormat="1" x14ac:dyDescent="0.2">
      <c r="A23" s="210" t="s">
        <v>777</v>
      </c>
      <c r="B23" s="39"/>
      <c r="C23" s="414">
        <v>11030</v>
      </c>
      <c r="D23" s="435"/>
      <c r="E23" s="414">
        <v>11350</v>
      </c>
      <c r="F23" s="74"/>
      <c r="G23" s="436">
        <v>10300</v>
      </c>
      <c r="I23" s="414">
        <v>11250</v>
      </c>
      <c r="K23" s="414">
        <v>11250</v>
      </c>
      <c r="M23" s="77"/>
    </row>
    <row r="24" spans="1:13" s="40" customFormat="1" x14ac:dyDescent="0.2">
      <c r="A24" s="445" t="s">
        <v>778</v>
      </c>
      <c r="B24" s="39"/>
      <c r="C24" s="414">
        <v>2064</v>
      </c>
      <c r="D24" s="435"/>
      <c r="E24" s="414">
        <v>2042</v>
      </c>
      <c r="F24" s="74"/>
      <c r="G24" s="436">
        <v>2000</v>
      </c>
      <c r="I24" s="414">
        <v>2000</v>
      </c>
      <c r="K24" s="414">
        <v>2000</v>
      </c>
      <c r="M24" s="77"/>
    </row>
    <row r="25" spans="1:13" s="40" customFormat="1" x14ac:dyDescent="0.2">
      <c r="A25" s="210" t="s">
        <v>779</v>
      </c>
      <c r="B25" s="39"/>
      <c r="C25" s="414">
        <v>1108</v>
      </c>
      <c r="D25" s="435"/>
      <c r="E25" s="414">
        <v>914</v>
      </c>
      <c r="F25" s="74"/>
      <c r="G25" s="436">
        <v>1500</v>
      </c>
      <c r="I25" s="414">
        <v>1500</v>
      </c>
      <c r="K25" s="414">
        <v>1500</v>
      </c>
      <c r="M25" s="77"/>
    </row>
    <row r="26" spans="1:13" s="40" customFormat="1" x14ac:dyDescent="0.2">
      <c r="A26" s="444" t="s">
        <v>780</v>
      </c>
      <c r="B26" s="39"/>
      <c r="C26" s="414">
        <v>5323</v>
      </c>
      <c r="D26" s="435"/>
      <c r="E26" s="414">
        <v>7588</v>
      </c>
      <c r="F26" s="74"/>
      <c r="G26" s="436">
        <v>7000</v>
      </c>
      <c r="I26" s="414">
        <v>7000</v>
      </c>
      <c r="K26" s="414">
        <v>7000</v>
      </c>
      <c r="M26" s="77"/>
    </row>
    <row r="27" spans="1:13" s="40" customFormat="1" x14ac:dyDescent="0.2">
      <c r="A27" s="599" t="s">
        <v>781</v>
      </c>
      <c r="B27" s="39"/>
      <c r="C27" s="414">
        <v>936</v>
      </c>
      <c r="D27" s="435"/>
      <c r="E27" s="414">
        <v>1029</v>
      </c>
      <c r="F27" s="74"/>
      <c r="G27" s="436">
        <v>1000</v>
      </c>
      <c r="I27" s="414">
        <v>1000</v>
      </c>
      <c r="K27" s="414">
        <v>1000</v>
      </c>
      <c r="M27" s="77"/>
    </row>
    <row r="28" spans="1:13" s="40" customFormat="1" x14ac:dyDescent="0.2">
      <c r="A28" s="599" t="s">
        <v>782</v>
      </c>
      <c r="B28" s="39"/>
      <c r="C28" s="414">
        <v>1776</v>
      </c>
      <c r="D28" s="435"/>
      <c r="E28" s="414">
        <v>1711</v>
      </c>
      <c r="F28" s="74"/>
      <c r="G28" s="436">
        <v>1200</v>
      </c>
      <c r="I28" s="414">
        <v>1700</v>
      </c>
      <c r="K28" s="414">
        <v>1700</v>
      </c>
      <c r="M28" s="77"/>
    </row>
    <row r="29" spans="1:13" s="40" customFormat="1" x14ac:dyDescent="0.2">
      <c r="A29" s="599" t="s">
        <v>783</v>
      </c>
      <c r="B29" s="39"/>
      <c r="C29" s="414">
        <v>1108</v>
      </c>
      <c r="D29" s="435"/>
      <c r="E29" s="414">
        <v>914</v>
      </c>
      <c r="F29" s="74"/>
      <c r="G29" s="436">
        <v>3500</v>
      </c>
      <c r="I29" s="414">
        <v>950</v>
      </c>
      <c r="K29" s="414">
        <v>950</v>
      </c>
      <c r="M29" s="77"/>
    </row>
    <row r="30" spans="1:13" s="37" customFormat="1" x14ac:dyDescent="0.2">
      <c r="A30" s="599" t="s">
        <v>784</v>
      </c>
      <c r="B30" s="39"/>
      <c r="C30" s="414">
        <v>3759</v>
      </c>
      <c r="D30" s="446"/>
      <c r="E30" s="414">
        <v>3586</v>
      </c>
      <c r="F30" s="73"/>
      <c r="G30" s="436">
        <v>3500</v>
      </c>
      <c r="I30" s="414">
        <v>3500</v>
      </c>
      <c r="K30" s="414">
        <v>3500</v>
      </c>
      <c r="M30" s="77"/>
    </row>
    <row r="31" spans="1:13" s="37" customFormat="1" x14ac:dyDescent="0.2">
      <c r="A31" s="444" t="s">
        <v>785</v>
      </c>
      <c r="B31" s="26"/>
      <c r="C31" s="414">
        <v>580</v>
      </c>
      <c r="D31" s="446"/>
      <c r="E31" s="414">
        <v>942</v>
      </c>
      <c r="F31" s="73"/>
      <c r="G31" s="436">
        <v>900</v>
      </c>
      <c r="I31" s="414">
        <v>900</v>
      </c>
      <c r="K31" s="414">
        <v>900</v>
      </c>
      <c r="M31" s="77"/>
    </row>
    <row r="32" spans="1:13" s="37" customFormat="1" x14ac:dyDescent="0.2">
      <c r="A32" s="444" t="s">
        <v>786</v>
      </c>
      <c r="B32" s="39"/>
      <c r="C32" s="414">
        <v>666</v>
      </c>
      <c r="D32" s="446"/>
      <c r="E32" s="414">
        <v>1017</v>
      </c>
      <c r="F32" s="73"/>
      <c r="G32" s="436">
        <v>900</v>
      </c>
      <c r="I32" s="243">
        <v>900</v>
      </c>
      <c r="K32" s="414">
        <v>900</v>
      </c>
      <c r="M32" s="77"/>
    </row>
    <row r="33" spans="1:13" s="37" customFormat="1" x14ac:dyDescent="0.2">
      <c r="A33" s="41"/>
      <c r="B33" s="39"/>
      <c r="C33" s="447"/>
      <c r="D33" s="447"/>
      <c r="E33" s="448"/>
      <c r="M33" s="89"/>
    </row>
    <row r="34" spans="1:13" s="37" customFormat="1" x14ac:dyDescent="0.2">
      <c r="A34" s="41"/>
      <c r="B34" s="39"/>
      <c r="M34" s="89"/>
    </row>
    <row r="35" spans="1:13" s="37" customFormat="1" x14ac:dyDescent="0.2">
      <c r="A35" s="35" t="s">
        <v>194</v>
      </c>
      <c r="B35" s="39"/>
    </row>
    <row r="36" spans="1:13" s="37" customFormat="1" x14ac:dyDescent="0.2">
      <c r="A36" s="35" t="s">
        <v>195</v>
      </c>
      <c r="B36" s="36"/>
    </row>
    <row r="37" spans="1:13" s="40" customFormat="1" x14ac:dyDescent="0.2">
      <c r="A37" s="38" t="s">
        <v>196</v>
      </c>
      <c r="B37" s="39"/>
      <c r="E37" s="63"/>
      <c r="G37" s="63"/>
      <c r="I37" s="63"/>
    </row>
    <row r="38" spans="1:13" s="40" customFormat="1" x14ac:dyDescent="0.2">
      <c r="A38" s="41" t="s">
        <v>197</v>
      </c>
      <c r="B38" s="39"/>
      <c r="C38" s="76">
        <v>93</v>
      </c>
      <c r="E38" s="76">
        <v>113</v>
      </c>
      <c r="F38" s="77"/>
      <c r="G38" s="76">
        <v>114</v>
      </c>
      <c r="I38" s="76">
        <v>102</v>
      </c>
      <c r="K38" s="76">
        <v>102</v>
      </c>
      <c r="M38" s="77"/>
    </row>
    <row r="39" spans="1:13" s="40" customFormat="1" x14ac:dyDescent="0.2">
      <c r="A39" s="41" t="s">
        <v>261</v>
      </c>
      <c r="B39" s="39"/>
      <c r="C39" s="76">
        <v>6</v>
      </c>
      <c r="D39" s="77"/>
      <c r="E39" s="76">
        <v>5</v>
      </c>
      <c r="F39" s="77"/>
      <c r="G39" s="76">
        <v>0</v>
      </c>
      <c r="I39" s="76">
        <v>0</v>
      </c>
      <c r="K39" s="76">
        <v>0</v>
      </c>
      <c r="M39" s="77"/>
    </row>
    <row r="40" spans="1:13" s="40" customFormat="1" x14ac:dyDescent="0.2">
      <c r="A40" s="41" t="s">
        <v>262</v>
      </c>
      <c r="B40" s="39"/>
      <c r="C40" s="76">
        <v>392</v>
      </c>
      <c r="D40" s="77"/>
      <c r="E40" s="76">
        <v>374</v>
      </c>
      <c r="F40" s="77"/>
      <c r="G40" s="76">
        <v>370</v>
      </c>
      <c r="I40" s="76">
        <v>359</v>
      </c>
      <c r="K40" s="76">
        <v>372</v>
      </c>
      <c r="M40" s="77"/>
    </row>
    <row r="41" spans="1:13" s="40" customFormat="1" x14ac:dyDescent="0.2">
      <c r="A41" s="38" t="s">
        <v>198</v>
      </c>
      <c r="B41" s="39"/>
      <c r="C41" s="76">
        <f>SUM(C38:C40)</f>
        <v>491</v>
      </c>
      <c r="D41" s="77"/>
      <c r="E41" s="76">
        <f>SUM(E38:E40)</f>
        <v>492</v>
      </c>
      <c r="F41" s="77"/>
      <c r="G41" s="76">
        <f>SUM(G38:G40)</f>
        <v>484</v>
      </c>
      <c r="I41" s="76">
        <f>SUM(I38:I40)</f>
        <v>461</v>
      </c>
      <c r="K41" s="76">
        <f>SUM(K38:K40)</f>
        <v>474</v>
      </c>
      <c r="M41" s="77"/>
    </row>
    <row r="42" spans="1:13" s="40" customFormat="1" x14ac:dyDescent="0.2">
      <c r="A42" s="38" t="s">
        <v>199</v>
      </c>
      <c r="B42" s="39"/>
      <c r="C42" s="76"/>
      <c r="E42" s="76"/>
      <c r="F42" s="77"/>
      <c r="G42" s="76"/>
      <c r="I42" s="76"/>
      <c r="K42" s="63"/>
    </row>
    <row r="43" spans="1:13" s="40" customFormat="1" x14ac:dyDescent="0.2">
      <c r="A43" s="41" t="s">
        <v>787</v>
      </c>
      <c r="B43" s="39"/>
      <c r="C43" s="76">
        <v>93</v>
      </c>
      <c r="E43" s="76">
        <v>113</v>
      </c>
      <c r="F43" s="77"/>
      <c r="G43" s="76">
        <v>114</v>
      </c>
      <c r="I43" s="76">
        <v>102</v>
      </c>
      <c r="K43" s="76">
        <v>102</v>
      </c>
      <c r="M43" s="77"/>
    </row>
    <row r="44" spans="1:13" s="40" customFormat="1" x14ac:dyDescent="0.2">
      <c r="A44" s="41" t="s">
        <v>788</v>
      </c>
      <c r="B44" s="39"/>
      <c r="C44" s="76">
        <v>73</v>
      </c>
      <c r="D44" s="77"/>
      <c r="E44" s="76">
        <v>68</v>
      </c>
      <c r="F44" s="77"/>
      <c r="G44" s="76">
        <v>67</v>
      </c>
      <c r="I44" s="76">
        <v>61</v>
      </c>
      <c r="K44" s="76">
        <v>61</v>
      </c>
      <c r="M44" s="77"/>
    </row>
    <row r="45" spans="1:13" s="40" customFormat="1" x14ac:dyDescent="0.2">
      <c r="A45" s="41" t="s">
        <v>775</v>
      </c>
      <c r="B45" s="39"/>
      <c r="C45" s="76">
        <v>315</v>
      </c>
      <c r="D45" s="77"/>
      <c r="E45" s="76">
        <v>311</v>
      </c>
      <c r="F45" s="77"/>
      <c r="G45" s="76">
        <v>303</v>
      </c>
      <c r="I45" s="76">
        <v>298</v>
      </c>
      <c r="K45" s="76">
        <v>311</v>
      </c>
      <c r="M45" s="77"/>
    </row>
    <row r="46" spans="1:13" s="40" customFormat="1" x14ac:dyDescent="0.2">
      <c r="A46" s="41" t="s">
        <v>789</v>
      </c>
      <c r="B46" s="39"/>
      <c r="C46" s="76">
        <v>10</v>
      </c>
      <c r="D46" s="77"/>
      <c r="E46" s="76">
        <v>0</v>
      </c>
      <c r="F46" s="77"/>
      <c r="G46" s="76">
        <v>0</v>
      </c>
      <c r="I46" s="76">
        <v>0</v>
      </c>
      <c r="K46" s="76">
        <v>0</v>
      </c>
      <c r="M46" s="77"/>
    </row>
    <row r="47" spans="1:13" s="40" customFormat="1" x14ac:dyDescent="0.2">
      <c r="A47" s="38" t="s">
        <v>198</v>
      </c>
      <c r="B47" s="39"/>
      <c r="C47" s="76">
        <f>SUM(C43:C46)</f>
        <v>491</v>
      </c>
      <c r="E47" s="76">
        <f>SUM(E43:E46)</f>
        <v>492</v>
      </c>
      <c r="F47" s="77"/>
      <c r="G47" s="76">
        <f>SUM(G43:G46)</f>
        <v>484</v>
      </c>
      <c r="I47" s="76">
        <f>SUM(I43:I46)</f>
        <v>461</v>
      </c>
      <c r="K47" s="76">
        <f>SUM(K43:K46)</f>
        <v>474</v>
      </c>
      <c r="M47" s="77"/>
    </row>
    <row r="48" spans="1:13" s="37" customFormat="1" x14ac:dyDescent="0.2">
      <c r="A48" s="35"/>
      <c r="B48" s="36"/>
      <c r="E48" s="76"/>
      <c r="G48" s="87"/>
      <c r="I48" s="87"/>
    </row>
    <row r="49" spans="1:15" s="48" customFormat="1" x14ac:dyDescent="0.2">
      <c r="A49" s="46"/>
      <c r="B49" s="47"/>
    </row>
    <row r="50" spans="1:15" s="48" customFormat="1" x14ac:dyDescent="0.2">
      <c r="A50" s="49" t="s">
        <v>200</v>
      </c>
      <c r="B50" s="50"/>
      <c r="C50" s="51"/>
      <c r="D50" s="52"/>
      <c r="E50" s="53"/>
      <c r="F50" s="52"/>
      <c r="G50" s="53"/>
      <c r="H50" s="52"/>
      <c r="I50" s="53"/>
      <c r="J50" s="52"/>
      <c r="K50" s="53"/>
      <c r="L50" s="52"/>
      <c r="M50" s="51"/>
      <c r="N50" s="52"/>
    </row>
    <row r="51" spans="1:15" ht="41.25" customHeight="1" x14ac:dyDescent="0.2">
      <c r="A51" s="1738" t="s">
        <v>524</v>
      </c>
      <c r="B51" s="1736"/>
      <c r="C51" s="1737"/>
      <c r="D51" s="1736"/>
      <c r="E51" s="1737"/>
      <c r="F51" s="1736"/>
      <c r="G51" s="1737"/>
      <c r="H51" s="1736"/>
      <c r="I51" s="1737"/>
      <c r="J51" s="1736"/>
      <c r="K51" s="1737"/>
      <c r="L51" s="1736"/>
      <c r="M51" s="1737"/>
      <c r="N51" s="1736"/>
      <c r="O51" s="951"/>
    </row>
    <row r="52" spans="1:15" ht="30" customHeight="1" x14ac:dyDescent="0.2">
      <c r="A52" s="1738"/>
      <c r="B52" s="1736"/>
      <c r="C52" s="1737"/>
      <c r="D52" s="1736"/>
      <c r="E52" s="1737"/>
      <c r="F52" s="1736"/>
      <c r="G52" s="1737"/>
      <c r="H52" s="1736"/>
      <c r="I52" s="1737"/>
      <c r="J52" s="1736"/>
      <c r="K52" s="1737"/>
      <c r="L52" s="1736"/>
      <c r="M52" s="1737"/>
      <c r="N52" s="1736"/>
    </row>
    <row r="53" spans="1:15" ht="27.75" customHeight="1" x14ac:dyDescent="0.2">
      <c r="A53" s="1738"/>
      <c r="B53" s="1736"/>
      <c r="C53" s="1737"/>
      <c r="D53" s="1736"/>
      <c r="E53" s="1737"/>
      <c r="F53" s="1736"/>
      <c r="G53" s="1737"/>
      <c r="H53" s="1736"/>
      <c r="I53" s="1737"/>
      <c r="J53" s="1736"/>
      <c r="K53" s="1737"/>
      <c r="L53" s="1736"/>
      <c r="M53" s="1737"/>
      <c r="N53" s="1736"/>
    </row>
    <row r="54" spans="1:15" ht="27.75" customHeight="1" x14ac:dyDescent="0.2">
      <c r="A54" s="1735"/>
      <c r="B54" s="1736"/>
      <c r="C54" s="1737"/>
      <c r="D54" s="1736"/>
      <c r="E54" s="1737"/>
      <c r="F54" s="1736"/>
      <c r="G54" s="1737"/>
      <c r="H54" s="1736"/>
      <c r="I54" s="1737"/>
      <c r="J54" s="1736"/>
      <c r="K54" s="1737"/>
      <c r="L54" s="1736"/>
      <c r="M54" s="1737"/>
      <c r="N54" s="1736"/>
    </row>
    <row r="55" spans="1:15" ht="27.75" customHeight="1" x14ac:dyDescent="0.2">
      <c r="A55" s="1735"/>
      <c r="B55" s="1736"/>
      <c r="C55" s="1737"/>
      <c r="D55" s="1736"/>
      <c r="E55" s="1737"/>
      <c r="F55" s="1736"/>
      <c r="G55" s="1737"/>
      <c r="H55" s="1736"/>
      <c r="I55" s="1737"/>
      <c r="J55" s="1736"/>
      <c r="K55" s="1737"/>
      <c r="L55" s="1736"/>
      <c r="M55" s="1737"/>
      <c r="N55" s="1736"/>
    </row>
    <row r="56" spans="1:15" ht="27.75" customHeight="1" x14ac:dyDescent="0.2">
      <c r="A56" s="1735"/>
      <c r="B56" s="1736"/>
      <c r="C56" s="1737"/>
      <c r="D56" s="1736"/>
      <c r="E56" s="1737"/>
      <c r="F56" s="1736"/>
      <c r="G56" s="1737"/>
      <c r="H56" s="1736"/>
      <c r="I56" s="1737"/>
      <c r="J56" s="1736"/>
      <c r="K56" s="1737"/>
      <c r="L56" s="1736"/>
      <c r="M56" s="1737"/>
      <c r="N56" s="1736"/>
    </row>
    <row r="57" spans="1:15" ht="27.75" customHeight="1" x14ac:dyDescent="0.2">
      <c r="A57" s="1735"/>
      <c r="B57" s="1736"/>
      <c r="C57" s="1737"/>
      <c r="D57" s="1736"/>
      <c r="E57" s="1737"/>
      <c r="F57" s="1736"/>
      <c r="G57" s="1737"/>
      <c r="H57" s="1736"/>
      <c r="I57" s="1737"/>
      <c r="J57" s="1736"/>
      <c r="K57" s="1737"/>
      <c r="L57" s="1736"/>
      <c r="M57" s="1737"/>
      <c r="N57" s="1736"/>
    </row>
    <row r="58" spans="1:15" ht="27.75" customHeight="1" x14ac:dyDescent="0.2">
      <c r="A58" s="1735"/>
      <c r="B58" s="1736"/>
      <c r="C58" s="1737"/>
      <c r="D58" s="1736"/>
      <c r="E58" s="1737"/>
      <c r="F58" s="1736"/>
      <c r="G58" s="1737"/>
      <c r="H58" s="1736"/>
      <c r="I58" s="1737"/>
      <c r="J58" s="1736"/>
      <c r="K58" s="1737"/>
      <c r="L58" s="1736"/>
      <c r="M58" s="1737"/>
      <c r="N58" s="1736"/>
    </row>
    <row r="59" spans="1:15" ht="27.75" customHeight="1" x14ac:dyDescent="0.2">
      <c r="A59" s="1735"/>
      <c r="B59" s="1736"/>
      <c r="C59" s="1737"/>
      <c r="D59" s="1736"/>
      <c r="E59" s="1737"/>
      <c r="F59" s="1736"/>
      <c r="G59" s="1737"/>
      <c r="H59" s="1736"/>
      <c r="I59" s="1737"/>
      <c r="J59" s="1736"/>
      <c r="K59" s="1737"/>
      <c r="L59" s="1736"/>
      <c r="M59" s="1737"/>
      <c r="N59" s="1736"/>
    </row>
    <row r="60" spans="1:15" x14ac:dyDescent="0.2">
      <c r="A60" s="55"/>
      <c r="B60" s="54"/>
      <c r="C60" s="56"/>
      <c r="D60" s="54"/>
      <c r="E60" s="56"/>
      <c r="F60" s="54"/>
      <c r="G60" s="56"/>
      <c r="H60" s="54"/>
      <c r="I60" s="56"/>
      <c r="J60" s="54"/>
      <c r="K60" s="56"/>
      <c r="L60" s="54"/>
      <c r="M60" s="56"/>
      <c r="N60" s="54"/>
    </row>
    <row r="61" spans="1:15" x14ac:dyDescent="0.2">
      <c r="A61" s="55"/>
      <c r="B61" s="54"/>
      <c r="C61" s="54"/>
      <c r="D61" s="54"/>
      <c r="E61" s="54"/>
      <c r="F61" s="54"/>
      <c r="G61" s="54"/>
      <c r="H61" s="54"/>
      <c r="I61" s="54"/>
      <c r="J61" s="54"/>
      <c r="K61" s="54"/>
      <c r="L61" s="54"/>
      <c r="M61" s="54"/>
      <c r="N61" s="54"/>
    </row>
    <row r="62" spans="1:15" x14ac:dyDescent="0.2">
      <c r="A62" s="55"/>
      <c r="B62" s="54"/>
      <c r="C62" s="56"/>
      <c r="D62" s="54"/>
      <c r="E62" s="56"/>
      <c r="F62" s="54"/>
      <c r="G62" s="56"/>
      <c r="H62" s="54"/>
      <c r="I62" s="56"/>
      <c r="J62" s="54"/>
      <c r="K62" s="56"/>
      <c r="L62" s="54"/>
      <c r="M62" s="56"/>
      <c r="N62" s="54"/>
    </row>
    <row r="63" spans="1:15" x14ac:dyDescent="0.2">
      <c r="A63" s="55"/>
      <c r="B63" s="54"/>
      <c r="C63" s="54"/>
      <c r="D63" s="54"/>
      <c r="E63" s="54"/>
      <c r="F63" s="54"/>
      <c r="G63" s="54"/>
      <c r="H63" s="54"/>
      <c r="I63" s="54"/>
      <c r="J63" s="54"/>
      <c r="K63" s="54"/>
      <c r="L63" s="54"/>
      <c r="M63" s="54"/>
      <c r="N63" s="54"/>
    </row>
    <row r="64" spans="1:15" x14ac:dyDescent="0.2">
      <c r="A64" s="55"/>
      <c r="B64" s="54"/>
      <c r="C64" s="56"/>
      <c r="D64" s="54"/>
      <c r="E64" s="56"/>
      <c r="F64" s="54"/>
      <c r="G64" s="56"/>
      <c r="H64" s="54"/>
      <c r="I64" s="56"/>
      <c r="J64" s="54"/>
      <c r="K64" s="56"/>
      <c r="L64" s="54"/>
      <c r="M64" s="56"/>
      <c r="N64" s="54"/>
    </row>
    <row r="65" spans="1:15" x14ac:dyDescent="0.2">
      <c r="A65" s="55"/>
      <c r="B65" s="54"/>
      <c r="C65" s="54"/>
      <c r="D65" s="54"/>
      <c r="E65" s="54"/>
      <c r="F65" s="54"/>
      <c r="G65" s="54"/>
      <c r="H65" s="54"/>
      <c r="I65" s="54"/>
      <c r="J65" s="54"/>
      <c r="K65" s="54"/>
      <c r="L65" s="54"/>
      <c r="M65" s="54"/>
      <c r="N65" s="54"/>
    </row>
    <row r="66" spans="1:15" x14ac:dyDescent="0.2">
      <c r="A66" s="55"/>
      <c r="B66" s="54"/>
      <c r="C66" s="54"/>
      <c r="D66" s="54"/>
      <c r="E66" s="54"/>
      <c r="F66" s="54"/>
      <c r="G66" s="54"/>
      <c r="H66" s="54"/>
      <c r="I66" s="54"/>
      <c r="J66" s="54"/>
      <c r="K66" s="54"/>
      <c r="L66" s="54"/>
      <c r="M66" s="54"/>
      <c r="N66" s="54"/>
    </row>
    <row r="67" spans="1:15" x14ac:dyDescent="0.2">
      <c r="A67" s="55"/>
      <c r="B67" s="54"/>
      <c r="C67" s="54"/>
      <c r="D67" s="54"/>
      <c r="E67" s="54"/>
      <c r="F67" s="54"/>
      <c r="G67" s="54"/>
      <c r="H67" s="54"/>
      <c r="I67" s="54"/>
      <c r="J67" s="54"/>
      <c r="K67" s="54"/>
      <c r="L67" s="54"/>
      <c r="M67" s="54"/>
      <c r="N67" s="54"/>
      <c r="O67" s="57"/>
    </row>
    <row r="68" spans="1:15" x14ac:dyDescent="0.2">
      <c r="B68" s="25"/>
      <c r="C68" s="25"/>
      <c r="D68" s="25"/>
      <c r="E68" s="58"/>
      <c r="F68" s="58"/>
      <c r="G68" s="58"/>
      <c r="H68" s="58"/>
    </row>
    <row r="69" spans="1:15" x14ac:dyDescent="0.2">
      <c r="B69" s="25"/>
      <c r="C69" s="25"/>
      <c r="D69" s="25"/>
      <c r="E69" s="58"/>
      <c r="F69" s="58"/>
      <c r="G69" s="58"/>
      <c r="H69" s="58"/>
    </row>
    <row r="70" spans="1:15" x14ac:dyDescent="0.2">
      <c r="B70" s="25"/>
      <c r="C70" s="25"/>
      <c r="D70" s="25"/>
      <c r="E70" s="58"/>
      <c r="F70" s="58"/>
      <c r="G70" s="58"/>
      <c r="H70" s="58"/>
    </row>
    <row r="71" spans="1:15" x14ac:dyDescent="0.2">
      <c r="B71" s="25"/>
      <c r="C71" s="25"/>
      <c r="D71" s="25"/>
      <c r="E71" s="58"/>
      <c r="F71" s="58"/>
      <c r="G71" s="58"/>
      <c r="H71" s="58"/>
    </row>
    <row r="72" spans="1:15" x14ac:dyDescent="0.2">
      <c r="B72" s="25"/>
      <c r="C72" s="25"/>
      <c r="D72" s="25"/>
      <c r="E72" s="58"/>
      <c r="F72" s="58"/>
      <c r="G72" s="58"/>
      <c r="H72" s="58"/>
    </row>
    <row r="73" spans="1:15" x14ac:dyDescent="0.2">
      <c r="B73" s="25"/>
      <c r="C73" s="25"/>
      <c r="D73" s="25"/>
      <c r="E73" s="58"/>
      <c r="F73" s="58"/>
      <c r="G73" s="58"/>
      <c r="H73" s="58"/>
    </row>
    <row r="74" spans="1:15" x14ac:dyDescent="0.2">
      <c r="B74" s="25"/>
      <c r="C74" s="25"/>
      <c r="D74" s="25"/>
      <c r="E74" s="58"/>
      <c r="F74" s="58"/>
      <c r="G74" s="58"/>
      <c r="H74" s="58"/>
    </row>
    <row r="75" spans="1:15" x14ac:dyDescent="0.2">
      <c r="B75" s="25"/>
      <c r="C75" s="25"/>
      <c r="D75" s="25"/>
      <c r="E75" s="58"/>
      <c r="F75" s="58"/>
      <c r="G75" s="58"/>
      <c r="H75" s="58"/>
    </row>
    <row r="76" spans="1:15" x14ac:dyDescent="0.2">
      <c r="B76" s="25"/>
      <c r="C76" s="25"/>
      <c r="D76" s="25"/>
      <c r="E76" s="58"/>
      <c r="F76" s="58"/>
      <c r="G76" s="58"/>
      <c r="H76" s="58"/>
    </row>
    <row r="77" spans="1:15" x14ac:dyDescent="0.2">
      <c r="B77" s="25"/>
      <c r="C77" s="25"/>
      <c r="D77" s="25"/>
      <c r="E77" s="58"/>
      <c r="F77" s="58"/>
      <c r="G77" s="58"/>
      <c r="H77" s="58"/>
    </row>
    <row r="78" spans="1:15" x14ac:dyDescent="0.2">
      <c r="B78" s="25"/>
      <c r="C78" s="25"/>
      <c r="D78" s="25"/>
      <c r="E78" s="58"/>
      <c r="F78" s="58"/>
      <c r="G78" s="58"/>
      <c r="H78" s="58"/>
    </row>
    <row r="79" spans="1:15" x14ac:dyDescent="0.2">
      <c r="B79" s="25"/>
      <c r="C79" s="25"/>
      <c r="D79" s="25"/>
      <c r="E79" s="58"/>
      <c r="F79" s="58"/>
      <c r="G79" s="58"/>
      <c r="H79" s="58"/>
    </row>
    <row r="80" spans="1:15"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25"/>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row r="107" spans="2:2" x14ac:dyDescent="0.2">
      <c r="B107" s="25"/>
    </row>
    <row r="108" spans="2:2" x14ac:dyDescent="0.2">
      <c r="B108" s="25"/>
    </row>
    <row r="109" spans="2:2" x14ac:dyDescent="0.2">
      <c r="B109" s="25"/>
    </row>
    <row r="110" spans="2:2" x14ac:dyDescent="0.2">
      <c r="B110" s="25"/>
    </row>
    <row r="111" spans="2:2" x14ac:dyDescent="0.2">
      <c r="B111" s="25"/>
    </row>
    <row r="112" spans="2:2" x14ac:dyDescent="0.2">
      <c r="B112" s="25"/>
    </row>
    <row r="113" spans="2:2" x14ac:dyDescent="0.2">
      <c r="B113" s="25"/>
    </row>
  </sheetData>
  <mergeCells count="10">
    <mergeCell ref="A57:N57"/>
    <mergeCell ref="A58:N58"/>
    <mergeCell ref="A59:N59"/>
    <mergeCell ref="K2:K3"/>
    <mergeCell ref="A51:N51"/>
    <mergeCell ref="A52:N52"/>
    <mergeCell ref="A53:N53"/>
    <mergeCell ref="A54:N54"/>
    <mergeCell ref="A55:N55"/>
    <mergeCell ref="A56:N56"/>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2" fitToHeight="98"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1">
    <pageSetUpPr fitToPage="1"/>
  </sheetPr>
  <dimension ref="A1:Q12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6.14062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710</v>
      </c>
      <c r="C3" s="10" t="s">
        <v>711</v>
      </c>
      <c r="D3" s="6"/>
      <c r="E3" s="11"/>
      <c r="F3" s="9"/>
      <c r="G3" s="11"/>
      <c r="H3" s="6"/>
      <c r="I3" s="11"/>
      <c r="J3" s="6"/>
      <c r="K3" s="1734"/>
      <c r="L3" s="6"/>
      <c r="M3" s="11"/>
      <c r="N3" s="6"/>
    </row>
    <row r="4" spans="1:16" s="4" customFormat="1" ht="15.75" x14ac:dyDescent="0.25">
      <c r="A4" s="1" t="s">
        <v>180</v>
      </c>
      <c r="B4" s="10" t="s">
        <v>790</v>
      </c>
      <c r="C4" s="10" t="s">
        <v>20</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791</v>
      </c>
      <c r="B11" s="36"/>
    </row>
    <row r="12" spans="1:16" s="40" customFormat="1" x14ac:dyDescent="0.2">
      <c r="A12" s="41" t="s">
        <v>792</v>
      </c>
      <c r="B12" s="39"/>
      <c r="C12" s="449">
        <v>6828</v>
      </c>
      <c r="D12" s="63"/>
      <c r="E12" s="449">
        <v>7086</v>
      </c>
      <c r="G12" s="76">
        <v>6828</v>
      </c>
      <c r="I12" s="449">
        <v>6828</v>
      </c>
      <c r="K12" s="449">
        <v>6828</v>
      </c>
      <c r="M12" s="76"/>
    </row>
    <row r="13" spans="1:16" s="40" customFormat="1" x14ac:dyDescent="0.2">
      <c r="A13" s="41" t="s">
        <v>793</v>
      </c>
      <c r="B13" s="39"/>
      <c r="C13" s="450">
        <v>0.18</v>
      </c>
      <c r="D13" s="399"/>
      <c r="E13" s="450">
        <v>0.18</v>
      </c>
      <c r="F13" s="83"/>
      <c r="G13" s="82">
        <v>0.18</v>
      </c>
      <c r="H13" s="83"/>
      <c r="I13" s="450">
        <v>0.18</v>
      </c>
      <c r="J13" s="83"/>
      <c r="K13" s="450">
        <v>0.18</v>
      </c>
      <c r="M13" s="93"/>
    </row>
    <row r="14" spans="1:16" s="40" customFormat="1" x14ac:dyDescent="0.2">
      <c r="A14" s="41" t="s">
        <v>794</v>
      </c>
      <c r="B14" s="39"/>
      <c r="C14" s="449">
        <v>61961</v>
      </c>
      <c r="D14" s="63"/>
      <c r="E14" s="449">
        <v>71132</v>
      </c>
      <c r="G14" s="76">
        <v>63000</v>
      </c>
      <c r="I14" s="449">
        <v>66000</v>
      </c>
      <c r="K14" s="449">
        <v>66000</v>
      </c>
      <c r="M14" s="76"/>
    </row>
    <row r="15" spans="1:16" s="40" customFormat="1" x14ac:dyDescent="0.2">
      <c r="A15" s="41" t="s">
        <v>795</v>
      </c>
      <c r="B15" s="39"/>
      <c r="C15" s="449">
        <v>4346</v>
      </c>
      <c r="D15" s="63"/>
      <c r="E15" s="449">
        <v>4326</v>
      </c>
      <c r="G15" s="76">
        <v>4000</v>
      </c>
      <c r="I15" s="449">
        <v>4000</v>
      </c>
      <c r="K15" s="449">
        <v>4000</v>
      </c>
      <c r="M15" s="76"/>
    </row>
    <row r="16" spans="1:16" s="40" customFormat="1" x14ac:dyDescent="0.2">
      <c r="A16" s="41" t="s">
        <v>796</v>
      </c>
      <c r="B16" s="39"/>
      <c r="C16" s="449">
        <v>83</v>
      </c>
      <c r="D16" s="63"/>
      <c r="E16" s="449">
        <v>83</v>
      </c>
      <c r="G16" s="76">
        <v>83</v>
      </c>
      <c r="I16" s="449">
        <v>78</v>
      </c>
      <c r="K16" s="449">
        <v>78</v>
      </c>
      <c r="M16" s="76"/>
    </row>
    <row r="17" spans="1:14" x14ac:dyDescent="0.2">
      <c r="C17" s="368"/>
      <c r="D17" s="59"/>
      <c r="E17" s="368"/>
      <c r="I17" s="368"/>
      <c r="K17" s="368"/>
    </row>
    <row r="18" spans="1:14" x14ac:dyDescent="0.2">
      <c r="A18" s="35" t="s">
        <v>797</v>
      </c>
      <c r="B18" s="39"/>
      <c r="C18" s="368"/>
      <c r="D18" s="59"/>
      <c r="E18" s="368"/>
      <c r="I18" s="368"/>
      <c r="K18" s="368"/>
    </row>
    <row r="19" spans="1:14" x14ac:dyDescent="0.2">
      <c r="A19" s="41" t="s">
        <v>798</v>
      </c>
      <c r="B19" s="39"/>
      <c r="C19" s="368"/>
      <c r="D19" s="59"/>
      <c r="E19" s="368"/>
      <c r="I19" s="368"/>
      <c r="K19" s="368"/>
      <c r="M19" s="451"/>
    </row>
    <row r="20" spans="1:14" x14ac:dyDescent="0.2">
      <c r="A20" s="90" t="s">
        <v>436</v>
      </c>
      <c r="B20" s="39"/>
      <c r="C20" s="452">
        <v>190</v>
      </c>
      <c r="D20" s="59"/>
      <c r="E20" s="452">
        <v>200</v>
      </c>
      <c r="G20" s="355">
        <v>156</v>
      </c>
      <c r="I20" s="452">
        <v>156</v>
      </c>
      <c r="K20" s="452">
        <v>156</v>
      </c>
      <c r="M20" s="453"/>
    </row>
    <row r="21" spans="1:14" x14ac:dyDescent="0.2">
      <c r="A21" s="41" t="s">
        <v>799</v>
      </c>
      <c r="B21" s="39"/>
      <c r="C21" s="368"/>
      <c r="D21" s="59"/>
      <c r="E21" s="368"/>
      <c r="I21" s="368"/>
      <c r="K21" s="368"/>
      <c r="M21" s="451"/>
    </row>
    <row r="22" spans="1:14" x14ac:dyDescent="0.2">
      <c r="A22" s="90" t="s">
        <v>800</v>
      </c>
      <c r="B22" s="39"/>
      <c r="C22" s="449">
        <v>3110</v>
      </c>
      <c r="D22" s="63"/>
      <c r="E22" s="449">
        <v>2354</v>
      </c>
      <c r="F22" s="40"/>
      <c r="G22" s="76">
        <v>3000</v>
      </c>
      <c r="I22" s="449">
        <v>2500</v>
      </c>
      <c r="K22" s="449">
        <v>2500</v>
      </c>
      <c r="M22" s="175"/>
      <c r="N22" s="434"/>
    </row>
    <row r="23" spans="1:14" x14ac:dyDescent="0.2">
      <c r="A23" s="90" t="s">
        <v>801</v>
      </c>
      <c r="B23" s="39"/>
      <c r="C23" s="368">
        <v>722</v>
      </c>
      <c r="D23" s="59"/>
      <c r="E23" s="368">
        <v>951</v>
      </c>
      <c r="G23" s="59">
        <v>800</v>
      </c>
      <c r="I23" s="368">
        <v>800</v>
      </c>
      <c r="K23" s="368">
        <v>800</v>
      </c>
      <c r="M23" s="451"/>
      <c r="N23" s="434"/>
    </row>
    <row r="24" spans="1:14" x14ac:dyDescent="0.2">
      <c r="A24" s="90" t="s">
        <v>802</v>
      </c>
      <c r="B24" s="39"/>
      <c r="C24" s="368">
        <v>9</v>
      </c>
      <c r="D24" s="59"/>
      <c r="E24" s="368">
        <v>4</v>
      </c>
      <c r="G24" s="59">
        <v>10</v>
      </c>
      <c r="I24" s="368">
        <v>10</v>
      </c>
      <c r="K24" s="368">
        <v>10</v>
      </c>
      <c r="M24" s="451"/>
      <c r="N24" s="434"/>
    </row>
    <row r="25" spans="1:14" x14ac:dyDescent="0.2">
      <c r="A25" s="90"/>
      <c r="B25" s="39"/>
      <c r="C25" s="368"/>
      <c r="D25" s="59"/>
      <c r="E25" s="368"/>
      <c r="I25" s="368"/>
      <c r="K25" s="368"/>
      <c r="M25" s="175"/>
      <c r="N25" s="434"/>
    </row>
    <row r="26" spans="1:14" x14ac:dyDescent="0.2">
      <c r="A26" s="35" t="s">
        <v>803</v>
      </c>
      <c r="B26" s="36"/>
      <c r="C26" s="368"/>
      <c r="D26" s="59"/>
      <c r="E26" s="368"/>
      <c r="I26" s="368"/>
      <c r="K26" s="368"/>
      <c r="M26" s="175"/>
      <c r="N26" s="434"/>
    </row>
    <row r="27" spans="1:14" x14ac:dyDescent="0.2">
      <c r="A27" s="444" t="s">
        <v>804</v>
      </c>
      <c r="B27" s="39"/>
      <c r="C27" s="368"/>
      <c r="D27" s="59"/>
      <c r="E27" s="368"/>
      <c r="I27" s="368"/>
      <c r="K27" s="368"/>
      <c r="M27" s="175"/>
      <c r="N27" s="434"/>
    </row>
    <row r="28" spans="1:14" x14ac:dyDescent="0.2">
      <c r="A28" s="210" t="s">
        <v>805</v>
      </c>
      <c r="B28" s="39"/>
      <c r="C28" s="454">
        <v>114</v>
      </c>
      <c r="D28" s="338"/>
      <c r="E28" s="454">
        <v>451</v>
      </c>
      <c r="G28" s="350">
        <v>300</v>
      </c>
      <c r="I28" s="454">
        <v>450</v>
      </c>
      <c r="K28" s="454">
        <v>450</v>
      </c>
      <c r="M28" s="455"/>
      <c r="N28" s="434"/>
    </row>
    <row r="29" spans="1:14" x14ac:dyDescent="0.2">
      <c r="A29" s="444" t="s">
        <v>806</v>
      </c>
      <c r="B29" s="39"/>
      <c r="C29" s="368">
        <v>28</v>
      </c>
      <c r="D29" s="59"/>
      <c r="E29" s="368">
        <v>80</v>
      </c>
      <c r="G29" s="59">
        <v>50</v>
      </c>
      <c r="I29" s="368">
        <v>70</v>
      </c>
      <c r="K29" s="368">
        <v>70</v>
      </c>
      <c r="M29" s="451"/>
      <c r="N29" s="434"/>
    </row>
    <row r="30" spans="1:14" x14ac:dyDescent="0.2">
      <c r="A30" s="444"/>
      <c r="B30" s="39"/>
      <c r="C30" s="368"/>
      <c r="D30" s="59"/>
      <c r="E30" s="368"/>
      <c r="I30" s="368"/>
      <c r="K30" s="368"/>
      <c r="M30" s="456"/>
      <c r="N30" s="434"/>
    </row>
    <row r="31" spans="1:14" x14ac:dyDescent="0.2">
      <c r="A31" s="139" t="s">
        <v>807</v>
      </c>
      <c r="B31" s="39"/>
      <c r="C31" s="368"/>
      <c r="D31" s="59"/>
      <c r="E31" s="368"/>
      <c r="I31" s="368"/>
      <c r="K31" s="368"/>
      <c r="M31" s="456"/>
      <c r="N31" s="434"/>
    </row>
    <row r="32" spans="1:14" x14ac:dyDescent="0.2">
      <c r="A32" s="457" t="s">
        <v>808</v>
      </c>
      <c r="B32" s="39"/>
      <c r="C32" s="368"/>
      <c r="D32" s="59"/>
      <c r="E32" s="368"/>
      <c r="I32" s="368"/>
      <c r="K32" s="368"/>
      <c r="M32" s="456"/>
      <c r="N32" s="434"/>
    </row>
    <row r="33" spans="1:14" x14ac:dyDescent="0.2">
      <c r="A33" s="458" t="s">
        <v>809</v>
      </c>
      <c r="B33" s="39"/>
      <c r="C33" s="368"/>
      <c r="D33" s="59"/>
      <c r="E33" s="368"/>
      <c r="I33" s="368"/>
      <c r="K33" s="368"/>
      <c r="M33" s="456"/>
      <c r="N33" s="434"/>
    </row>
    <row r="34" spans="1:14" x14ac:dyDescent="0.2">
      <c r="A34" s="459" t="s">
        <v>810</v>
      </c>
      <c r="B34" s="39"/>
      <c r="C34" s="368">
        <v>20</v>
      </c>
      <c r="D34" s="59"/>
      <c r="E34" s="368"/>
      <c r="I34" s="368"/>
      <c r="K34" s="368"/>
      <c r="M34" s="451"/>
      <c r="N34" s="434"/>
    </row>
    <row r="35" spans="1:14" x14ac:dyDescent="0.2">
      <c r="A35" s="459" t="s">
        <v>811</v>
      </c>
      <c r="B35" s="39"/>
      <c r="C35" s="460">
        <v>0.3</v>
      </c>
      <c r="D35" s="59"/>
      <c r="E35" s="460">
        <v>0.2</v>
      </c>
      <c r="G35" s="461"/>
      <c r="I35" s="460"/>
      <c r="K35" s="460"/>
      <c r="M35" s="462"/>
      <c r="N35" s="434"/>
    </row>
    <row r="36" spans="1:14" x14ac:dyDescent="0.2">
      <c r="A36" s="459" t="s">
        <v>812</v>
      </c>
      <c r="B36" s="39"/>
      <c r="C36" s="368">
        <v>20</v>
      </c>
      <c r="D36" s="59"/>
      <c r="E36" s="368">
        <v>11</v>
      </c>
      <c r="I36" s="368"/>
      <c r="K36" s="368"/>
      <c r="M36" s="451"/>
      <c r="N36" s="434"/>
    </row>
    <row r="37" spans="1:14" x14ac:dyDescent="0.2">
      <c r="A37" s="458" t="s">
        <v>813</v>
      </c>
      <c r="B37" s="39"/>
      <c r="C37" s="368"/>
      <c r="D37" s="59"/>
      <c r="E37" s="368"/>
      <c r="I37" s="368"/>
      <c r="K37" s="368"/>
      <c r="M37" s="456"/>
      <c r="N37" s="434"/>
    </row>
    <row r="38" spans="1:14" x14ac:dyDescent="0.2">
      <c r="A38" s="459" t="s">
        <v>810</v>
      </c>
      <c r="B38" s="39"/>
      <c r="C38" s="368">
        <v>20</v>
      </c>
      <c r="D38" s="59"/>
      <c r="E38" s="368"/>
      <c r="I38" s="368"/>
      <c r="K38" s="368"/>
      <c r="M38" s="451"/>
      <c r="N38" s="434"/>
    </row>
    <row r="39" spans="1:14" x14ac:dyDescent="0.2">
      <c r="A39" s="459" t="s">
        <v>811</v>
      </c>
      <c r="B39" s="39"/>
      <c r="C39" s="460">
        <v>0.3</v>
      </c>
      <c r="D39" s="59"/>
      <c r="E39" s="460"/>
      <c r="G39" s="461"/>
      <c r="I39" s="460"/>
      <c r="K39" s="460"/>
      <c r="M39" s="462"/>
      <c r="N39" s="434"/>
    </row>
    <row r="40" spans="1:14" x14ac:dyDescent="0.2">
      <c r="A40" s="459" t="s">
        <v>812</v>
      </c>
      <c r="B40" s="39"/>
      <c r="C40" s="368">
        <v>20</v>
      </c>
      <c r="D40" s="59"/>
      <c r="E40" s="368"/>
      <c r="I40" s="368"/>
      <c r="K40" s="368"/>
      <c r="M40" s="451"/>
      <c r="N40" s="434"/>
    </row>
    <row r="41" spans="1:14" x14ac:dyDescent="0.2">
      <c r="A41" s="458" t="s">
        <v>814</v>
      </c>
      <c r="B41" s="39"/>
      <c r="C41" s="368"/>
      <c r="D41" s="59"/>
      <c r="E41" s="368"/>
      <c r="I41" s="368"/>
      <c r="K41" s="368"/>
      <c r="M41" s="456"/>
      <c r="N41" s="434"/>
    </row>
    <row r="42" spans="1:14" x14ac:dyDescent="0.2">
      <c r="A42" s="459" t="s">
        <v>811</v>
      </c>
      <c r="B42" s="39"/>
      <c r="C42" s="460">
        <v>9.1999999999999993</v>
      </c>
      <c r="D42" s="59"/>
      <c r="E42" s="460">
        <v>3.2</v>
      </c>
      <c r="G42" s="461"/>
      <c r="I42" s="460">
        <v>0.3</v>
      </c>
      <c r="K42" s="460"/>
      <c r="M42" s="462"/>
      <c r="N42" s="434"/>
    </row>
    <row r="43" spans="1:14" x14ac:dyDescent="0.2">
      <c r="A43" s="459" t="s">
        <v>812</v>
      </c>
      <c r="B43" s="39"/>
      <c r="C43" s="368">
        <v>476</v>
      </c>
      <c r="D43" s="59"/>
      <c r="E43" s="368">
        <v>191</v>
      </c>
      <c r="I43" s="368"/>
      <c r="K43" s="368"/>
      <c r="M43" s="451"/>
      <c r="N43" s="434"/>
    </row>
    <row r="44" spans="1:14" x14ac:dyDescent="0.2">
      <c r="A44" s="1426"/>
      <c r="B44" s="1426"/>
      <c r="C44" s="59"/>
      <c r="D44" s="60"/>
      <c r="M44" s="451"/>
    </row>
    <row r="45" spans="1:14" x14ac:dyDescent="0.2">
      <c r="A45" s="35" t="s">
        <v>194</v>
      </c>
      <c r="B45" s="1426"/>
      <c r="C45" s="59"/>
      <c r="D45" s="60"/>
    </row>
    <row r="46" spans="1:14" x14ac:dyDescent="0.2">
      <c r="A46" s="35" t="s">
        <v>195</v>
      </c>
      <c r="B46" s="1426"/>
      <c r="C46" s="59"/>
      <c r="D46" s="60"/>
    </row>
    <row r="47" spans="1:14" s="40" customFormat="1" x14ac:dyDescent="0.2">
      <c r="A47" s="38" t="s">
        <v>196</v>
      </c>
      <c r="B47" s="39"/>
    </row>
    <row r="48" spans="1:14" s="40" customFormat="1" x14ac:dyDescent="0.2">
      <c r="A48" s="41" t="s">
        <v>197</v>
      </c>
      <c r="B48" s="39"/>
      <c r="C48" s="76">
        <v>13</v>
      </c>
      <c r="D48" s="63"/>
      <c r="E48" s="76">
        <v>13</v>
      </c>
      <c r="F48" s="63"/>
      <c r="G48" s="76">
        <v>13</v>
      </c>
      <c r="I48" s="76">
        <v>14</v>
      </c>
      <c r="K48" s="76">
        <v>14</v>
      </c>
      <c r="M48" s="77"/>
    </row>
    <row r="49" spans="1:17" s="40" customFormat="1" x14ac:dyDescent="0.2">
      <c r="A49" s="41" t="s">
        <v>262</v>
      </c>
      <c r="B49" s="39"/>
      <c r="C49" s="76">
        <v>398</v>
      </c>
      <c r="D49" s="63"/>
      <c r="E49" s="76">
        <v>398</v>
      </c>
      <c r="F49" s="63"/>
      <c r="G49" s="76">
        <v>386</v>
      </c>
      <c r="I49" s="76">
        <v>383</v>
      </c>
      <c r="K49" s="76">
        <v>405</v>
      </c>
      <c r="M49" s="77"/>
    </row>
    <row r="50" spans="1:17" s="40" customFormat="1" x14ac:dyDescent="0.2">
      <c r="A50" s="41" t="s">
        <v>198</v>
      </c>
      <c r="B50" s="39"/>
      <c r="C50" s="76">
        <f>SUM(C48:C49)</f>
        <v>411</v>
      </c>
      <c r="D50" s="63"/>
      <c r="E50" s="76">
        <f>SUM(E48:E49)</f>
        <v>411</v>
      </c>
      <c r="F50" s="63"/>
      <c r="G50" s="76">
        <f>SUM(G48:G49)</f>
        <v>399</v>
      </c>
      <c r="I50" s="76">
        <f>SUM(I48:I49)</f>
        <v>397</v>
      </c>
      <c r="K50" s="76">
        <f>SUM(K48:K49)</f>
        <v>419</v>
      </c>
      <c r="M50" s="77"/>
    </row>
    <row r="51" spans="1:17" s="40" customFormat="1" x14ac:dyDescent="0.2">
      <c r="A51" s="38" t="s">
        <v>199</v>
      </c>
      <c r="B51" s="39"/>
      <c r="C51" s="63"/>
      <c r="D51" s="63"/>
      <c r="E51" s="63"/>
      <c r="F51" s="63"/>
      <c r="G51" s="63"/>
      <c r="I51" s="63"/>
      <c r="K51" s="63"/>
    </row>
    <row r="52" spans="1:17" s="40" customFormat="1" x14ac:dyDescent="0.2">
      <c r="A52" s="41" t="s">
        <v>791</v>
      </c>
      <c r="B52" s="39"/>
      <c r="C52" s="76">
        <v>64</v>
      </c>
      <c r="D52" s="63"/>
      <c r="E52" s="76">
        <v>69</v>
      </c>
      <c r="F52" s="63"/>
      <c r="G52" s="76">
        <v>66</v>
      </c>
      <c r="I52" s="76">
        <v>65</v>
      </c>
      <c r="K52" s="76">
        <v>71</v>
      </c>
      <c r="M52" s="77"/>
    </row>
    <row r="53" spans="1:17" s="40" customFormat="1" x14ac:dyDescent="0.2">
      <c r="A53" s="41" t="s">
        <v>815</v>
      </c>
      <c r="B53" s="39"/>
      <c r="C53" s="76">
        <v>133</v>
      </c>
      <c r="D53" s="63"/>
      <c r="E53" s="76">
        <v>130</v>
      </c>
      <c r="F53" s="63"/>
      <c r="G53" s="76">
        <v>129</v>
      </c>
      <c r="I53" s="76">
        <v>129</v>
      </c>
      <c r="K53" s="76">
        <v>135</v>
      </c>
      <c r="M53" s="77"/>
    </row>
    <row r="54" spans="1:17" s="118" customFormat="1" x14ac:dyDescent="0.2">
      <c r="A54" s="124" t="s">
        <v>797</v>
      </c>
      <c r="B54" s="117"/>
      <c r="C54" s="112">
        <v>37</v>
      </c>
      <c r="D54" s="111"/>
      <c r="E54" s="112">
        <v>33</v>
      </c>
      <c r="F54" s="111"/>
      <c r="G54" s="112">
        <v>32</v>
      </c>
      <c r="I54" s="112">
        <v>31</v>
      </c>
      <c r="K54" s="112">
        <v>33</v>
      </c>
      <c r="M54" s="120"/>
    </row>
    <row r="55" spans="1:17" s="40" customFormat="1" x14ac:dyDescent="0.2">
      <c r="A55" s="41" t="s">
        <v>816</v>
      </c>
      <c r="B55" s="39"/>
      <c r="C55" s="76">
        <v>100</v>
      </c>
      <c r="D55" s="63"/>
      <c r="E55" s="76">
        <v>98</v>
      </c>
      <c r="F55" s="63"/>
      <c r="G55" s="76">
        <v>95</v>
      </c>
      <c r="I55" s="76">
        <v>93</v>
      </c>
      <c r="K55" s="76">
        <v>98</v>
      </c>
      <c r="M55" s="77"/>
    </row>
    <row r="56" spans="1:17" s="40" customFormat="1" x14ac:dyDescent="0.2">
      <c r="A56" s="41" t="s">
        <v>803</v>
      </c>
      <c r="B56" s="39"/>
      <c r="C56" s="76">
        <v>44</v>
      </c>
      <c r="D56" s="63"/>
      <c r="E56" s="76">
        <v>48</v>
      </c>
      <c r="F56" s="63"/>
      <c r="G56" s="76">
        <v>48</v>
      </c>
      <c r="I56" s="76">
        <v>47</v>
      </c>
      <c r="K56" s="76">
        <v>48</v>
      </c>
      <c r="M56" s="77"/>
    </row>
    <row r="57" spans="1:17" s="40" customFormat="1" x14ac:dyDescent="0.2">
      <c r="A57" s="41" t="s">
        <v>817</v>
      </c>
      <c r="B57" s="39"/>
      <c r="C57" s="76">
        <v>33</v>
      </c>
      <c r="D57" s="76"/>
      <c r="E57" s="76">
        <v>33</v>
      </c>
      <c r="F57" s="63"/>
      <c r="G57" s="76">
        <v>29</v>
      </c>
      <c r="I57" s="76">
        <v>32</v>
      </c>
      <c r="K57" s="76">
        <v>34</v>
      </c>
      <c r="M57" s="77"/>
    </row>
    <row r="58" spans="1:17" s="40" customFormat="1" x14ac:dyDescent="0.2">
      <c r="A58" s="41" t="s">
        <v>198</v>
      </c>
      <c r="B58" s="39"/>
      <c r="C58" s="76">
        <f>SUM(C52:C57)</f>
        <v>411</v>
      </c>
      <c r="D58" s="76"/>
      <c r="E58" s="76">
        <f>SUM(E52:E57)</f>
        <v>411</v>
      </c>
      <c r="F58" s="63"/>
      <c r="G58" s="76">
        <f>SUM(G52:G57)</f>
        <v>399</v>
      </c>
      <c r="I58" s="76">
        <f>SUM(I52:I57)</f>
        <v>397</v>
      </c>
      <c r="K58" s="76">
        <f>SUM(K52:K57)</f>
        <v>419</v>
      </c>
      <c r="M58" s="77"/>
    </row>
    <row r="59" spans="1:17" s="37" customFormat="1" x14ac:dyDescent="0.2">
      <c r="A59" s="35"/>
      <c r="B59" s="36"/>
      <c r="C59" s="87"/>
      <c r="D59" s="87"/>
      <c r="E59" s="87"/>
      <c r="F59" s="87"/>
      <c r="G59" s="87"/>
      <c r="I59" s="87"/>
    </row>
    <row r="60" spans="1:17" s="48" customFormat="1" x14ac:dyDescent="0.2">
      <c r="A60" s="46"/>
      <c r="B60" s="47"/>
    </row>
    <row r="61" spans="1:17" s="48" customFormat="1" x14ac:dyDescent="0.2">
      <c r="A61" s="49" t="s">
        <v>200</v>
      </c>
      <c r="B61" s="50"/>
      <c r="C61" s="51"/>
      <c r="D61" s="52"/>
      <c r="E61" s="53"/>
      <c r="F61" s="52"/>
      <c r="G61" s="53"/>
      <c r="H61" s="52"/>
      <c r="I61" s="53"/>
      <c r="J61" s="52"/>
      <c r="K61" s="53"/>
      <c r="L61" s="52"/>
      <c r="M61" s="51"/>
      <c r="N61" s="52"/>
    </row>
    <row r="62" spans="1:17" ht="43.5" customHeight="1" x14ac:dyDescent="0.2">
      <c r="A62" s="1738" t="s">
        <v>466</v>
      </c>
      <c r="B62" s="1736"/>
      <c r="C62" s="1737"/>
      <c r="D62" s="1736"/>
      <c r="E62" s="1737"/>
      <c r="F62" s="1736"/>
      <c r="G62" s="1737"/>
      <c r="H62" s="1736"/>
      <c r="I62" s="1737"/>
      <c r="J62" s="1736"/>
      <c r="K62" s="1737"/>
      <c r="L62" s="1736"/>
      <c r="M62" s="1737"/>
      <c r="N62" s="1736"/>
      <c r="O62" s="54"/>
      <c r="P62" s="54"/>
      <c r="Q62" s="951"/>
    </row>
    <row r="63" spans="1:17" ht="15.75" customHeight="1" x14ac:dyDescent="0.2">
      <c r="A63" s="1738"/>
      <c r="B63" s="1736"/>
      <c r="C63" s="1737"/>
      <c r="D63" s="1736"/>
      <c r="E63" s="1737"/>
      <c r="F63" s="1736"/>
      <c r="G63" s="1737"/>
      <c r="H63" s="1736"/>
      <c r="I63" s="1737"/>
      <c r="J63" s="1736"/>
      <c r="K63" s="1737"/>
      <c r="L63" s="1736"/>
      <c r="M63" s="1737"/>
      <c r="N63" s="1736"/>
      <c r="O63" s="54"/>
      <c r="P63" s="54"/>
    </row>
    <row r="64" spans="1:17" ht="21" customHeight="1" x14ac:dyDescent="0.2">
      <c r="A64" s="1738"/>
      <c r="B64" s="1736"/>
      <c r="C64" s="1737"/>
      <c r="D64" s="1736"/>
      <c r="E64" s="1737"/>
      <c r="F64" s="1736"/>
      <c r="G64" s="1737"/>
      <c r="H64" s="1736"/>
      <c r="I64" s="1737"/>
      <c r="J64" s="1736"/>
      <c r="K64" s="1737"/>
      <c r="L64" s="1736"/>
      <c r="M64" s="1737"/>
      <c r="N64" s="1736"/>
      <c r="O64" s="54"/>
      <c r="P64" s="54"/>
    </row>
    <row r="65" spans="1:17" ht="27.75" customHeight="1" x14ac:dyDescent="0.2">
      <c r="A65" s="1735"/>
      <c r="B65" s="1736"/>
      <c r="C65" s="1737"/>
      <c r="D65" s="1736"/>
      <c r="E65" s="1737"/>
      <c r="F65" s="1736"/>
      <c r="G65" s="1737"/>
      <c r="H65" s="1736"/>
      <c r="I65" s="1737"/>
      <c r="J65" s="1736"/>
      <c r="K65" s="1737"/>
      <c r="L65" s="1736"/>
      <c r="M65" s="1737"/>
      <c r="N65" s="1736"/>
      <c r="O65" s="54"/>
      <c r="P65" s="54"/>
    </row>
    <row r="66" spans="1:17" ht="27.75" customHeight="1" x14ac:dyDescent="0.2">
      <c r="A66" s="1735"/>
      <c r="B66" s="1736"/>
      <c r="C66" s="1737"/>
      <c r="D66" s="1736"/>
      <c r="E66" s="1737"/>
      <c r="F66" s="1736"/>
      <c r="G66" s="1737"/>
      <c r="H66" s="1736"/>
      <c r="I66" s="1737"/>
      <c r="J66" s="1736"/>
      <c r="K66" s="1737"/>
      <c r="L66" s="1736"/>
      <c r="M66" s="1737"/>
      <c r="N66" s="1736"/>
      <c r="O66" s="54"/>
      <c r="P66" s="54"/>
    </row>
    <row r="67" spans="1:17" ht="27.75" customHeight="1" x14ac:dyDescent="0.2">
      <c r="A67" s="1735"/>
      <c r="B67" s="1736"/>
      <c r="C67" s="1737"/>
      <c r="D67" s="1736"/>
      <c r="E67" s="1737"/>
      <c r="F67" s="1736"/>
      <c r="G67" s="1737"/>
      <c r="H67" s="1736"/>
      <c r="I67" s="1737"/>
      <c r="J67" s="1736"/>
      <c r="K67" s="1737"/>
      <c r="L67" s="1736"/>
      <c r="M67" s="1737"/>
      <c r="N67" s="1736"/>
      <c r="O67" s="54"/>
      <c r="P67" s="54"/>
    </row>
    <row r="68" spans="1:17" ht="27.75" customHeight="1" x14ac:dyDescent="0.2">
      <c r="A68" s="1735"/>
      <c r="B68" s="1736"/>
      <c r="C68" s="1737"/>
      <c r="D68" s="1736"/>
      <c r="E68" s="1737"/>
      <c r="F68" s="1736"/>
      <c r="G68" s="1737"/>
      <c r="H68" s="1736"/>
      <c r="I68" s="1737"/>
      <c r="J68" s="1736"/>
      <c r="K68" s="1737"/>
      <c r="L68" s="1736"/>
      <c r="M68" s="1737"/>
      <c r="N68" s="1736"/>
      <c r="O68" s="54"/>
      <c r="P68" s="54"/>
    </row>
    <row r="69" spans="1:17" ht="27.75" customHeight="1" x14ac:dyDescent="0.2">
      <c r="A69" s="1735"/>
      <c r="B69" s="1736"/>
      <c r="C69" s="1737"/>
      <c r="D69" s="1736"/>
      <c r="E69" s="1737"/>
      <c r="F69" s="1736"/>
      <c r="G69" s="1737"/>
      <c r="H69" s="1736"/>
      <c r="I69" s="1737"/>
      <c r="J69" s="1736"/>
      <c r="K69" s="1737"/>
      <c r="L69" s="1736"/>
      <c r="M69" s="1737"/>
      <c r="N69" s="1736"/>
      <c r="O69" s="54"/>
      <c r="P69" s="54"/>
    </row>
    <row r="70" spans="1:17" ht="27.75" customHeight="1" x14ac:dyDescent="0.2">
      <c r="A70" s="1735"/>
      <c r="B70" s="1736"/>
      <c r="C70" s="1737"/>
      <c r="D70" s="1736"/>
      <c r="E70" s="1737"/>
      <c r="F70" s="1736"/>
      <c r="G70" s="1737"/>
      <c r="H70" s="1736"/>
      <c r="I70" s="1737"/>
      <c r="J70" s="1736"/>
      <c r="K70" s="1737"/>
      <c r="L70" s="1736"/>
      <c r="M70" s="1737"/>
      <c r="N70" s="1736"/>
      <c r="O70" s="54"/>
      <c r="P70" s="54"/>
    </row>
    <row r="71" spans="1:17" ht="27.75" customHeight="1" x14ac:dyDescent="0.2">
      <c r="A71" s="1735"/>
      <c r="B71" s="1736"/>
      <c r="C71" s="1737"/>
      <c r="D71" s="1736"/>
      <c r="E71" s="1737"/>
      <c r="F71" s="1736"/>
      <c r="G71" s="1737"/>
      <c r="H71" s="1736"/>
      <c r="I71" s="1737"/>
      <c r="J71" s="1736"/>
      <c r="K71" s="1737"/>
      <c r="L71" s="1736"/>
      <c r="M71" s="1737"/>
      <c r="N71" s="1736"/>
      <c r="O71" s="54"/>
      <c r="P71" s="54"/>
    </row>
    <row r="72" spans="1:17" x14ac:dyDescent="0.2">
      <c r="A72" s="55"/>
      <c r="B72" s="54"/>
      <c r="C72" s="56"/>
      <c r="D72" s="54"/>
      <c r="E72" s="56"/>
      <c r="F72" s="54"/>
      <c r="G72" s="56"/>
      <c r="H72" s="54"/>
      <c r="I72" s="56"/>
      <c r="J72" s="54"/>
      <c r="K72" s="56"/>
      <c r="L72" s="54"/>
      <c r="M72" s="56"/>
      <c r="N72" s="54"/>
      <c r="O72" s="54"/>
      <c r="P72" s="54"/>
    </row>
    <row r="73" spans="1:17" x14ac:dyDescent="0.2">
      <c r="A73" s="55"/>
      <c r="B73" s="54"/>
      <c r="C73" s="54"/>
      <c r="D73" s="54"/>
      <c r="E73" s="54"/>
      <c r="F73" s="54"/>
      <c r="G73" s="54"/>
      <c r="H73" s="54"/>
      <c r="I73" s="54"/>
      <c r="J73" s="54"/>
      <c r="K73" s="54"/>
      <c r="L73" s="54"/>
      <c r="M73" s="54"/>
      <c r="N73" s="54"/>
      <c r="O73" s="54"/>
      <c r="P73" s="54"/>
    </row>
    <row r="74" spans="1:17" x14ac:dyDescent="0.2">
      <c r="A74" s="55"/>
      <c r="B74" s="54"/>
      <c r="C74" s="56"/>
      <c r="D74" s="54"/>
      <c r="E74" s="56"/>
      <c r="F74" s="54"/>
      <c r="G74" s="56"/>
      <c r="H74" s="54"/>
      <c r="I74" s="56"/>
      <c r="J74" s="54"/>
      <c r="K74" s="56"/>
      <c r="L74" s="54"/>
      <c r="M74" s="56"/>
      <c r="N74" s="54"/>
      <c r="O74" s="54"/>
      <c r="P74" s="54"/>
    </row>
    <row r="75" spans="1:17" x14ac:dyDescent="0.2">
      <c r="A75" s="55"/>
      <c r="B75" s="54"/>
      <c r="C75" s="54"/>
      <c r="D75" s="54"/>
      <c r="E75" s="54"/>
      <c r="F75" s="54"/>
      <c r="G75" s="54"/>
      <c r="H75" s="54"/>
      <c r="I75" s="54"/>
      <c r="J75" s="54"/>
      <c r="K75" s="54"/>
      <c r="L75" s="54"/>
      <c r="M75" s="54"/>
      <c r="N75" s="54"/>
      <c r="O75" s="54"/>
      <c r="P75" s="54"/>
    </row>
    <row r="76" spans="1:17" x14ac:dyDescent="0.2">
      <c r="A76" s="55"/>
      <c r="B76" s="54"/>
      <c r="C76" s="56"/>
      <c r="D76" s="54"/>
      <c r="E76" s="56"/>
      <c r="F76" s="54"/>
      <c r="G76" s="56"/>
      <c r="H76" s="54"/>
      <c r="I76" s="56"/>
      <c r="J76" s="54"/>
      <c r="K76" s="56"/>
      <c r="L76" s="54"/>
      <c r="M76" s="56"/>
      <c r="N76" s="54"/>
      <c r="O76" s="54"/>
      <c r="P76" s="54"/>
    </row>
    <row r="77" spans="1:17" x14ac:dyDescent="0.2">
      <c r="A77" s="55"/>
      <c r="B77" s="54"/>
      <c r="C77" s="54"/>
      <c r="D77" s="54"/>
      <c r="E77" s="54"/>
      <c r="F77" s="54"/>
      <c r="G77" s="54"/>
      <c r="H77" s="54"/>
      <c r="I77" s="54"/>
      <c r="J77" s="54"/>
      <c r="K77" s="54"/>
      <c r="L77" s="54"/>
      <c r="M77" s="54"/>
      <c r="N77" s="54"/>
      <c r="O77" s="54"/>
      <c r="P77" s="54"/>
    </row>
    <row r="78" spans="1:17" x14ac:dyDescent="0.2">
      <c r="A78" s="55"/>
      <c r="B78" s="54"/>
      <c r="C78" s="54"/>
      <c r="D78" s="54"/>
      <c r="E78" s="54"/>
      <c r="F78" s="54"/>
      <c r="G78" s="54"/>
      <c r="H78" s="54"/>
      <c r="I78" s="54"/>
      <c r="J78" s="54"/>
      <c r="K78" s="54"/>
      <c r="L78" s="54"/>
      <c r="M78" s="54"/>
      <c r="N78" s="54"/>
      <c r="O78" s="54"/>
      <c r="P78" s="54"/>
    </row>
    <row r="79" spans="1:17" x14ac:dyDescent="0.2">
      <c r="A79" s="55"/>
      <c r="B79" s="54"/>
      <c r="C79" s="54"/>
      <c r="D79" s="54"/>
      <c r="E79" s="54"/>
      <c r="F79" s="54"/>
      <c r="G79" s="54"/>
      <c r="H79" s="54"/>
      <c r="I79" s="54"/>
      <c r="J79" s="54"/>
      <c r="K79" s="54"/>
      <c r="L79" s="54"/>
      <c r="M79" s="54"/>
      <c r="N79" s="54"/>
      <c r="O79" s="54"/>
      <c r="P79" s="54"/>
      <c r="Q79" s="57"/>
    </row>
    <row r="80" spans="1:17"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25"/>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sheetData>
  <mergeCells count="11">
    <mergeCell ref="A68:N68"/>
    <mergeCell ref="A69:N69"/>
    <mergeCell ref="A70:N70"/>
    <mergeCell ref="A71:N71"/>
    <mergeCell ref="K2:K3"/>
    <mergeCell ref="A62:N62"/>
    <mergeCell ref="A63:N63"/>
    <mergeCell ref="A64:N64"/>
    <mergeCell ref="A65:N65"/>
    <mergeCell ref="A66:N66"/>
    <mergeCell ref="A67:N67"/>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2">
    <pageSetUpPr fitToPage="1"/>
  </sheetPr>
  <dimension ref="A1:Q9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710</v>
      </c>
      <c r="C3" s="10" t="s">
        <v>711</v>
      </c>
      <c r="D3" s="6"/>
      <c r="E3" s="11"/>
      <c r="F3" s="9"/>
      <c r="G3" s="11"/>
      <c r="H3" s="6"/>
      <c r="I3" s="11"/>
      <c r="J3" s="6"/>
      <c r="K3" s="1734"/>
      <c r="L3" s="6"/>
      <c r="M3" s="11"/>
      <c r="N3" s="6"/>
    </row>
    <row r="4" spans="1:16" s="4" customFormat="1" ht="15.75" x14ac:dyDescent="0.25">
      <c r="A4" s="1" t="s">
        <v>180</v>
      </c>
      <c r="B4" s="10" t="s">
        <v>818</v>
      </c>
      <c r="C4" s="10" t="s">
        <v>21</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263</v>
      </c>
      <c r="B11" s="36"/>
      <c r="E11" s="87"/>
      <c r="G11" s="87"/>
      <c r="I11" s="87"/>
    </row>
    <row r="12" spans="1:16" s="37" customFormat="1" x14ac:dyDescent="0.2">
      <c r="A12" s="41" t="s">
        <v>819</v>
      </c>
      <c r="B12" s="39"/>
      <c r="C12" s="63"/>
      <c r="D12" s="40"/>
      <c r="E12" s="63"/>
      <c r="F12" s="40"/>
      <c r="G12" s="63"/>
      <c r="I12" s="63"/>
    </row>
    <row r="13" spans="1:16" s="37" customFormat="1" x14ac:dyDescent="0.2">
      <c r="A13" s="90" t="s">
        <v>820</v>
      </c>
      <c r="B13" s="39"/>
      <c r="C13" s="76">
        <v>17723</v>
      </c>
      <c r="D13" s="40"/>
      <c r="E13" s="76">
        <v>19831</v>
      </c>
      <c r="F13" s="40"/>
      <c r="G13" s="76">
        <v>18250</v>
      </c>
      <c r="I13" s="76">
        <v>20000</v>
      </c>
      <c r="K13" s="76">
        <v>20000</v>
      </c>
      <c r="M13" s="89"/>
    </row>
    <row r="14" spans="1:16" s="37" customFormat="1" x14ac:dyDescent="0.2">
      <c r="A14" s="90"/>
      <c r="B14" s="39"/>
      <c r="C14" s="76"/>
      <c r="D14" s="40"/>
      <c r="E14" s="76"/>
      <c r="F14" s="40"/>
      <c r="G14" s="76"/>
      <c r="I14" s="76"/>
    </row>
    <row r="15" spans="1:16" s="37" customFormat="1" x14ac:dyDescent="0.2">
      <c r="A15" s="35" t="s">
        <v>194</v>
      </c>
      <c r="B15" s="39"/>
      <c r="C15" s="76"/>
      <c r="D15" s="40"/>
      <c r="E15" s="76"/>
      <c r="F15" s="40"/>
      <c r="G15" s="76"/>
      <c r="I15" s="76"/>
    </row>
    <row r="16" spans="1:16" s="37" customFormat="1" x14ac:dyDescent="0.2">
      <c r="A16" s="41" t="s">
        <v>254</v>
      </c>
      <c r="B16" s="36"/>
      <c r="E16" s="87"/>
      <c r="G16" s="87"/>
      <c r="I16" s="87"/>
    </row>
    <row r="17" spans="1:13" s="40" customFormat="1" x14ac:dyDescent="0.2">
      <c r="A17" s="90" t="s">
        <v>332</v>
      </c>
      <c r="B17" s="39"/>
      <c r="C17" s="76">
        <v>266</v>
      </c>
      <c r="E17" s="76">
        <v>264</v>
      </c>
      <c r="G17" s="76"/>
      <c r="I17" s="76">
        <v>272</v>
      </c>
      <c r="K17" s="77"/>
      <c r="M17" s="77"/>
    </row>
    <row r="18" spans="1:13" s="40" customFormat="1" x14ac:dyDescent="0.2">
      <c r="A18" s="90" t="s">
        <v>256</v>
      </c>
      <c r="B18" s="39"/>
      <c r="C18" s="100">
        <v>9.9000000000000005E-2</v>
      </c>
      <c r="E18" s="100">
        <v>9.9000000000000005E-2</v>
      </c>
      <c r="G18" s="100"/>
      <c r="I18" s="100">
        <v>0.104</v>
      </c>
      <c r="K18" s="101"/>
      <c r="M18" s="101"/>
    </row>
    <row r="19" spans="1:13" s="40" customFormat="1" x14ac:dyDescent="0.2">
      <c r="A19" s="90" t="s">
        <v>257</v>
      </c>
      <c r="B19" s="39"/>
      <c r="C19" s="76">
        <v>279</v>
      </c>
      <c r="E19" s="76">
        <v>284</v>
      </c>
      <c r="G19" s="76"/>
      <c r="I19" s="76">
        <v>293</v>
      </c>
      <c r="K19" s="77"/>
      <c r="M19" s="77"/>
    </row>
    <row r="20" spans="1:13" s="40" customFormat="1" x14ac:dyDescent="0.2">
      <c r="A20" s="90" t="s">
        <v>258</v>
      </c>
      <c r="B20" s="39"/>
      <c r="C20" s="100">
        <v>0.104</v>
      </c>
      <c r="E20" s="100">
        <v>0.106</v>
      </c>
      <c r="G20" s="100"/>
      <c r="I20" s="100">
        <v>0.112</v>
      </c>
      <c r="K20" s="101"/>
      <c r="M20" s="101"/>
    </row>
    <row r="21" spans="1:13" s="40" customFormat="1" x14ac:dyDescent="0.2">
      <c r="A21" s="90" t="s">
        <v>259</v>
      </c>
      <c r="B21" s="39"/>
      <c r="C21" s="76">
        <v>545</v>
      </c>
      <c r="E21" s="76">
        <v>548</v>
      </c>
      <c r="G21" s="76"/>
      <c r="I21" s="76">
        <v>565</v>
      </c>
      <c r="K21" s="77"/>
      <c r="M21" s="77"/>
    </row>
    <row r="22" spans="1:13" s="40" customFormat="1" x14ac:dyDescent="0.2">
      <c r="A22" s="90" t="s">
        <v>260</v>
      </c>
      <c r="B22" s="39"/>
      <c r="C22" s="100">
        <v>0.20300000000000001</v>
      </c>
      <c r="E22" s="100">
        <v>0.20499999999999999</v>
      </c>
      <c r="G22" s="100"/>
      <c r="I22" s="100">
        <v>0.215</v>
      </c>
      <c r="K22" s="101"/>
      <c r="M22" s="101"/>
    </row>
    <row r="23" spans="1:13" s="40" customFormat="1" x14ac:dyDescent="0.2">
      <c r="M23" s="463"/>
    </row>
    <row r="24" spans="1:13" s="37" customFormat="1" x14ac:dyDescent="0.2">
      <c r="A24" s="35" t="s">
        <v>195</v>
      </c>
      <c r="B24" s="36"/>
      <c r="C24" s="87"/>
    </row>
    <row r="25" spans="1:13" s="40" customFormat="1" x14ac:dyDescent="0.2">
      <c r="A25" s="38" t="s">
        <v>196</v>
      </c>
      <c r="B25" s="39"/>
      <c r="C25" s="63"/>
      <c r="M25" s="64"/>
    </row>
    <row r="26" spans="1:13" s="40" customFormat="1" x14ac:dyDescent="0.2">
      <c r="A26" s="41" t="s">
        <v>197</v>
      </c>
      <c r="B26" s="39"/>
      <c r="C26" s="76">
        <v>267</v>
      </c>
      <c r="E26" s="76">
        <v>257</v>
      </c>
      <c r="G26" s="76">
        <v>253</v>
      </c>
      <c r="I26" s="76">
        <v>258</v>
      </c>
      <c r="K26" s="77">
        <v>260</v>
      </c>
      <c r="M26" s="77"/>
    </row>
    <row r="27" spans="1:13" s="40" customFormat="1" x14ac:dyDescent="0.2">
      <c r="A27" s="41" t="s">
        <v>262</v>
      </c>
      <c r="B27" s="39"/>
      <c r="C27" s="76">
        <v>30</v>
      </c>
      <c r="E27" s="76">
        <v>28</v>
      </c>
      <c r="G27" s="76">
        <v>28</v>
      </c>
      <c r="I27" s="76">
        <v>28</v>
      </c>
      <c r="K27" s="77">
        <v>29</v>
      </c>
      <c r="M27" s="77"/>
    </row>
    <row r="28" spans="1:13" s="40" customFormat="1" x14ac:dyDescent="0.2">
      <c r="A28" s="41" t="s">
        <v>198</v>
      </c>
      <c r="B28" s="39"/>
      <c r="C28" s="76">
        <f>SUM(C26:C27)</f>
        <v>297</v>
      </c>
      <c r="D28" s="77"/>
      <c r="E28" s="76">
        <f>SUM(E26:E27)</f>
        <v>285</v>
      </c>
      <c r="G28" s="76">
        <f>SUM(G26:G27)</f>
        <v>281</v>
      </c>
      <c r="I28" s="76">
        <f>SUM(I26:I27)</f>
        <v>286</v>
      </c>
      <c r="J28" s="76"/>
      <c r="K28" s="77">
        <f t="shared" ref="K28" si="0">SUM(K26:K27)</f>
        <v>289</v>
      </c>
      <c r="M28" s="77"/>
    </row>
    <row r="29" spans="1:13" s="40" customFormat="1" x14ac:dyDescent="0.2">
      <c r="A29" s="38" t="s">
        <v>821</v>
      </c>
      <c r="B29" s="39"/>
      <c r="C29" s="63"/>
      <c r="E29" s="63"/>
      <c r="G29" s="63"/>
      <c r="I29" s="63"/>
    </row>
    <row r="30" spans="1:13" s="40" customFormat="1" x14ac:dyDescent="0.2">
      <c r="A30" s="41" t="s">
        <v>822</v>
      </c>
      <c r="B30" s="39"/>
      <c r="C30" s="76">
        <v>28</v>
      </c>
      <c r="E30" s="76">
        <v>26</v>
      </c>
      <c r="G30" s="76">
        <v>26</v>
      </c>
      <c r="I30" s="76">
        <v>26</v>
      </c>
      <c r="K30" s="77">
        <v>28</v>
      </c>
      <c r="M30" s="77"/>
    </row>
    <row r="31" spans="1:13" s="40" customFormat="1" x14ac:dyDescent="0.2">
      <c r="A31" s="41" t="s">
        <v>263</v>
      </c>
      <c r="B31" s="39"/>
      <c r="C31" s="76">
        <v>269</v>
      </c>
      <c r="E31" s="76">
        <v>259</v>
      </c>
      <c r="G31" s="76">
        <v>255</v>
      </c>
      <c r="I31" s="76">
        <v>260</v>
      </c>
      <c r="K31" s="77">
        <v>261</v>
      </c>
      <c r="M31" s="77"/>
    </row>
    <row r="32" spans="1:13" s="40" customFormat="1" x14ac:dyDescent="0.2">
      <c r="A32" s="41" t="s">
        <v>198</v>
      </c>
      <c r="B32" s="39"/>
      <c r="C32" s="76">
        <f>SUM(C30:C31)</f>
        <v>297</v>
      </c>
      <c r="D32" s="77"/>
      <c r="E32" s="76">
        <f>SUM(E30:E31)</f>
        <v>285</v>
      </c>
      <c r="G32" s="76">
        <f>SUM(G30:G31)</f>
        <v>281</v>
      </c>
      <c r="I32" s="76">
        <f>SUM(I30:I31)</f>
        <v>286</v>
      </c>
      <c r="J32" s="76"/>
      <c r="K32" s="77">
        <f t="shared" ref="K32" si="1">SUM(K30:K31)</f>
        <v>289</v>
      </c>
      <c r="M32" s="77"/>
    </row>
    <row r="33" spans="1:17" s="37" customFormat="1" x14ac:dyDescent="0.2">
      <c r="A33" s="35"/>
      <c r="B33" s="36"/>
      <c r="E33" s="87"/>
      <c r="G33" s="87"/>
      <c r="I33" s="87"/>
    </row>
    <row r="34" spans="1:17" s="48" customFormat="1" x14ac:dyDescent="0.2">
      <c r="A34" s="46"/>
      <c r="B34" s="47"/>
    </row>
    <row r="35" spans="1:17" s="48" customFormat="1" x14ac:dyDescent="0.2">
      <c r="A35" s="49" t="s">
        <v>200</v>
      </c>
      <c r="B35" s="50"/>
      <c r="C35" s="53"/>
      <c r="D35" s="52"/>
      <c r="E35" s="53"/>
      <c r="F35" s="52"/>
      <c r="G35" s="53"/>
      <c r="H35" s="52"/>
      <c r="I35" s="53"/>
      <c r="J35" s="52"/>
      <c r="K35" s="53"/>
      <c r="L35" s="52"/>
      <c r="M35" s="51"/>
      <c r="N35" s="52"/>
    </row>
    <row r="36" spans="1:17" ht="42.75" customHeight="1" x14ac:dyDescent="0.2">
      <c r="A36" s="1738" t="s">
        <v>524</v>
      </c>
      <c r="B36" s="1736"/>
      <c r="C36" s="1737"/>
      <c r="D36" s="1736"/>
      <c r="E36" s="1737"/>
      <c r="F36" s="1736"/>
      <c r="G36" s="1737"/>
      <c r="H36" s="1736"/>
      <c r="I36" s="1737"/>
      <c r="J36" s="1736"/>
      <c r="K36" s="1737"/>
      <c r="L36" s="1736"/>
      <c r="M36" s="1737"/>
      <c r="N36" s="1736"/>
      <c r="O36" s="54"/>
      <c r="P36" s="54"/>
      <c r="Q36" s="951"/>
    </row>
    <row r="37" spans="1:17" ht="27.75" customHeight="1" x14ac:dyDescent="0.2">
      <c r="A37" s="1735"/>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ht="27.75" customHeight="1" x14ac:dyDescent="0.2">
      <c r="A39" s="1735"/>
      <c r="B39" s="1736"/>
      <c r="C39" s="1737"/>
      <c r="D39" s="1736"/>
      <c r="E39" s="1737"/>
      <c r="F39" s="1736"/>
      <c r="G39" s="1737"/>
      <c r="H39" s="1736"/>
      <c r="I39" s="1737"/>
      <c r="J39" s="1736"/>
      <c r="K39" s="1737"/>
      <c r="L39" s="1736"/>
      <c r="M39" s="1737"/>
      <c r="N39" s="1736"/>
      <c r="O39" s="54"/>
      <c r="P39" s="54"/>
    </row>
    <row r="40" spans="1:17" ht="27.75" customHeight="1" x14ac:dyDescent="0.2">
      <c r="A40" s="1735"/>
      <c r="B40" s="1736"/>
      <c r="C40" s="1737"/>
      <c r="D40" s="1736"/>
      <c r="E40" s="1737"/>
      <c r="F40" s="1736"/>
      <c r="G40" s="1737"/>
      <c r="H40" s="1736"/>
      <c r="I40" s="1737"/>
      <c r="J40" s="1736"/>
      <c r="K40" s="1737"/>
      <c r="L40" s="1736"/>
      <c r="M40" s="1737"/>
      <c r="N40" s="1736"/>
      <c r="O40" s="54"/>
      <c r="P40" s="54"/>
    </row>
    <row r="41" spans="1:17" ht="27.75" customHeight="1" x14ac:dyDescent="0.2">
      <c r="A41" s="1735"/>
      <c r="B41" s="1736"/>
      <c r="C41" s="1737"/>
      <c r="D41" s="1736"/>
      <c r="E41" s="1737"/>
      <c r="F41" s="1736"/>
      <c r="G41" s="1737"/>
      <c r="H41" s="1736"/>
      <c r="I41" s="1737"/>
      <c r="J41" s="1736"/>
      <c r="K41" s="1737"/>
      <c r="L41" s="1736"/>
      <c r="M41" s="1737"/>
      <c r="N41" s="1736"/>
      <c r="O41" s="54"/>
      <c r="P41" s="54"/>
    </row>
    <row r="42" spans="1:17" ht="27.75" customHeight="1" x14ac:dyDescent="0.2">
      <c r="A42" s="1735"/>
      <c r="B42" s="1736"/>
      <c r="C42" s="1737"/>
      <c r="D42" s="1736"/>
      <c r="E42" s="1737"/>
      <c r="F42" s="1736"/>
      <c r="G42" s="1737"/>
      <c r="H42" s="1736"/>
      <c r="I42" s="1737"/>
      <c r="J42" s="1736"/>
      <c r="K42" s="1737"/>
      <c r="L42" s="1736"/>
      <c r="M42" s="1737"/>
      <c r="N42" s="1736"/>
      <c r="O42" s="54"/>
      <c r="P42" s="54"/>
    </row>
    <row r="43" spans="1:17" ht="27.75" customHeight="1" x14ac:dyDescent="0.2">
      <c r="A43" s="1735"/>
      <c r="B43" s="1736"/>
      <c r="C43" s="1737"/>
      <c r="D43" s="1736"/>
      <c r="E43" s="1737"/>
      <c r="F43" s="1736"/>
      <c r="G43" s="1737"/>
      <c r="H43" s="1736"/>
      <c r="I43" s="1737"/>
      <c r="J43" s="1736"/>
      <c r="K43" s="1737"/>
      <c r="L43" s="1736"/>
      <c r="M43" s="1737"/>
      <c r="N43" s="1736"/>
      <c r="O43" s="54"/>
      <c r="P43" s="54"/>
    </row>
    <row r="44" spans="1:17" ht="27.75" customHeight="1" x14ac:dyDescent="0.2">
      <c r="A44" s="1735"/>
      <c r="B44" s="1736"/>
      <c r="C44" s="1737"/>
      <c r="D44" s="1736"/>
      <c r="E44" s="1737"/>
      <c r="F44" s="1736"/>
      <c r="G44" s="1737"/>
      <c r="H44" s="1736"/>
      <c r="I44" s="1737"/>
      <c r="J44" s="1736"/>
      <c r="K44" s="1737"/>
      <c r="L44" s="1736"/>
      <c r="M44" s="1737"/>
      <c r="N44" s="1736"/>
      <c r="O44" s="54"/>
      <c r="P44" s="54"/>
    </row>
    <row r="45" spans="1:17" ht="27.75" customHeight="1" x14ac:dyDescent="0.2">
      <c r="A45" s="1735"/>
      <c r="B45" s="1736"/>
      <c r="C45" s="1737"/>
      <c r="D45" s="1736"/>
      <c r="E45" s="1737"/>
      <c r="F45" s="1736"/>
      <c r="G45" s="1737"/>
      <c r="H45" s="1736"/>
      <c r="I45" s="1737"/>
      <c r="J45" s="1736"/>
      <c r="K45" s="1737"/>
      <c r="L45" s="1736"/>
      <c r="M45" s="1737"/>
      <c r="N45" s="1736"/>
      <c r="O45" s="54"/>
      <c r="P45" s="54"/>
    </row>
    <row r="46" spans="1:17" x14ac:dyDescent="0.2">
      <c r="A46" s="55"/>
      <c r="B46" s="54"/>
      <c r="C46" s="56"/>
      <c r="D46" s="54"/>
      <c r="E46" s="56"/>
      <c r="F46" s="54"/>
      <c r="G46" s="56"/>
      <c r="H46" s="54"/>
      <c r="I46" s="56"/>
      <c r="J46" s="54"/>
      <c r="K46" s="56"/>
      <c r="L46" s="54"/>
      <c r="M46" s="56"/>
      <c r="N46" s="54"/>
      <c r="O46" s="54"/>
      <c r="P46" s="54"/>
    </row>
    <row r="47" spans="1:17" x14ac:dyDescent="0.2">
      <c r="A47" s="55"/>
      <c r="B47" s="54"/>
      <c r="C47" s="54"/>
      <c r="D47" s="54"/>
      <c r="E47" s="54"/>
      <c r="F47" s="54"/>
      <c r="G47" s="54"/>
      <c r="H47" s="54"/>
      <c r="I47" s="54"/>
      <c r="J47" s="54"/>
      <c r="K47" s="54"/>
      <c r="L47" s="54"/>
      <c r="M47" s="54"/>
      <c r="N47" s="54"/>
      <c r="O47" s="54"/>
      <c r="P47" s="54"/>
    </row>
    <row r="48" spans="1:17" x14ac:dyDescent="0.2">
      <c r="A48" s="55"/>
      <c r="B48" s="54"/>
      <c r="C48" s="56"/>
      <c r="D48" s="54"/>
      <c r="E48" s="56"/>
      <c r="F48" s="54"/>
      <c r="G48" s="56"/>
      <c r="H48" s="54"/>
      <c r="I48" s="56"/>
      <c r="J48" s="54"/>
      <c r="K48" s="56"/>
      <c r="L48" s="54"/>
      <c r="M48" s="56"/>
      <c r="N48" s="54"/>
      <c r="O48" s="54"/>
      <c r="P48" s="54"/>
    </row>
    <row r="49" spans="1:17" x14ac:dyDescent="0.2">
      <c r="A49" s="55"/>
      <c r="B49" s="54"/>
      <c r="C49" s="107"/>
      <c r="D49" s="54"/>
      <c r="E49" s="107"/>
      <c r="F49" s="54"/>
      <c r="G49" s="107"/>
      <c r="H49" s="54"/>
      <c r="I49" s="107"/>
      <c r="J49" s="54"/>
      <c r="K49" s="107"/>
      <c r="L49" s="54"/>
      <c r="M49" s="107"/>
      <c r="N49" s="54"/>
      <c r="O49" s="54"/>
      <c r="P49" s="54"/>
    </row>
    <row r="50" spans="1:17" x14ac:dyDescent="0.2">
      <c r="A50" s="55"/>
      <c r="B50" s="54"/>
      <c r="C50" s="56"/>
      <c r="D50" s="54"/>
      <c r="E50" s="56"/>
      <c r="F50" s="54"/>
      <c r="G50" s="56"/>
      <c r="H50" s="54"/>
      <c r="I50" s="56"/>
      <c r="J50" s="54"/>
      <c r="K50" s="56"/>
      <c r="L50" s="54"/>
      <c r="M50" s="56"/>
      <c r="N50" s="54"/>
      <c r="O50" s="54"/>
      <c r="P50" s="54"/>
    </row>
    <row r="51" spans="1:17" x14ac:dyDescent="0.2">
      <c r="A51" s="55"/>
      <c r="B51" s="54"/>
      <c r="C51" s="54"/>
      <c r="D51" s="54"/>
      <c r="E51" s="54"/>
      <c r="F51" s="54"/>
      <c r="G51" s="54"/>
      <c r="H51" s="54"/>
      <c r="I51" s="54"/>
      <c r="J51" s="54"/>
      <c r="K51" s="54"/>
      <c r="L51" s="54"/>
      <c r="M51" s="54"/>
      <c r="N51" s="54"/>
      <c r="O51" s="54"/>
      <c r="P51" s="54"/>
    </row>
    <row r="52" spans="1:17" x14ac:dyDescent="0.2">
      <c r="A52" s="55"/>
      <c r="B52" s="54"/>
      <c r="C52" s="54"/>
      <c r="D52" s="54"/>
      <c r="E52" s="54"/>
      <c r="F52" s="54"/>
      <c r="G52" s="54"/>
      <c r="H52" s="54"/>
      <c r="I52" s="54"/>
      <c r="J52" s="54"/>
      <c r="K52" s="54"/>
      <c r="L52" s="54"/>
      <c r="M52" s="54"/>
      <c r="N52" s="54"/>
      <c r="O52" s="54"/>
      <c r="P52" s="54"/>
    </row>
    <row r="53" spans="1:17" x14ac:dyDescent="0.2">
      <c r="A53" s="55"/>
      <c r="B53" s="54"/>
      <c r="C53" s="54"/>
      <c r="D53" s="54"/>
      <c r="E53" s="54"/>
      <c r="F53" s="54"/>
      <c r="G53" s="54"/>
      <c r="H53" s="54"/>
      <c r="I53" s="54"/>
      <c r="J53" s="54"/>
      <c r="K53" s="54"/>
      <c r="L53" s="54"/>
      <c r="M53" s="54"/>
      <c r="N53" s="54"/>
      <c r="O53" s="54"/>
      <c r="P53" s="54"/>
      <c r="Q53" s="57"/>
    </row>
    <row r="54" spans="1:17" x14ac:dyDescent="0.2">
      <c r="B54" s="25"/>
      <c r="C54" s="25"/>
      <c r="D54" s="25"/>
      <c r="E54" s="58"/>
      <c r="F54" s="58"/>
      <c r="G54" s="58"/>
      <c r="H54" s="58"/>
    </row>
    <row r="55" spans="1:17" x14ac:dyDescent="0.2">
      <c r="B55" s="25"/>
      <c r="C55" s="25"/>
      <c r="D55" s="25"/>
      <c r="E55" s="58"/>
      <c r="F55" s="58"/>
      <c r="G55" s="58"/>
      <c r="H55" s="58"/>
    </row>
    <row r="56" spans="1:17" x14ac:dyDescent="0.2">
      <c r="B56" s="25"/>
      <c r="C56" s="25"/>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58"/>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sheetData>
  <mergeCells count="11">
    <mergeCell ref="A42:N42"/>
    <mergeCell ref="A43:N43"/>
    <mergeCell ref="A44:N44"/>
    <mergeCell ref="A45:N45"/>
    <mergeCell ref="K2:K3"/>
    <mergeCell ref="A36:N36"/>
    <mergeCell ref="A37:N37"/>
    <mergeCell ref="A38:N38"/>
    <mergeCell ref="A39:N39"/>
    <mergeCell ref="A40:N40"/>
    <mergeCell ref="A41:N41"/>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3">
    <pageSetUpPr fitToPage="1"/>
  </sheetPr>
  <dimension ref="A1:Q10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7.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 style="60"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710</v>
      </c>
      <c r="C3" s="10" t="s">
        <v>711</v>
      </c>
      <c r="D3" s="6"/>
      <c r="E3" s="11"/>
      <c r="F3" s="9"/>
      <c r="G3" s="11"/>
      <c r="H3" s="6"/>
      <c r="I3" s="11"/>
      <c r="J3" s="6"/>
      <c r="K3" s="1734"/>
      <c r="L3" s="6"/>
      <c r="M3" s="11"/>
      <c r="N3" s="6"/>
    </row>
    <row r="4" spans="1:16" s="4" customFormat="1" ht="15.75" x14ac:dyDescent="0.25">
      <c r="A4" s="1" t="s">
        <v>180</v>
      </c>
      <c r="B4" s="10" t="s">
        <v>823</v>
      </c>
      <c r="C4" s="10" t="s">
        <v>22</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824</v>
      </c>
      <c r="B11" s="36"/>
    </row>
    <row r="12" spans="1:16" s="40" customFormat="1" x14ac:dyDescent="0.2">
      <c r="A12" s="41" t="s">
        <v>825</v>
      </c>
      <c r="B12" s="464"/>
      <c r="C12" s="465">
        <v>3801</v>
      </c>
      <c r="D12" s="466"/>
      <c r="E12" s="242">
        <v>3370</v>
      </c>
      <c r="F12" s="259"/>
      <c r="G12" s="76">
        <v>3000</v>
      </c>
      <c r="I12" s="76">
        <v>3000</v>
      </c>
      <c r="K12" s="76">
        <v>3000</v>
      </c>
      <c r="M12" s="77"/>
    </row>
    <row r="13" spans="1:16" s="37" customFormat="1" x14ac:dyDescent="0.2">
      <c r="A13" s="35" t="s">
        <v>826</v>
      </c>
      <c r="B13" s="467"/>
      <c r="C13" s="468"/>
      <c r="D13" s="469"/>
      <c r="E13" s="271"/>
      <c r="F13" s="271"/>
      <c r="G13" s="87"/>
      <c r="I13" s="87"/>
      <c r="K13" s="87"/>
      <c r="M13" s="89"/>
    </row>
    <row r="14" spans="1:16" s="40" customFormat="1" x14ac:dyDescent="0.2">
      <c r="A14" s="41" t="s">
        <v>825</v>
      </c>
      <c r="B14" s="464"/>
      <c r="C14" s="465">
        <v>1620</v>
      </c>
      <c r="D14" s="466"/>
      <c r="E14" s="242">
        <v>1200</v>
      </c>
      <c r="F14" s="259"/>
      <c r="G14" s="76">
        <v>800</v>
      </c>
      <c r="I14" s="76">
        <v>1200</v>
      </c>
      <c r="K14" s="76">
        <v>1200</v>
      </c>
      <c r="M14" s="77"/>
    </row>
    <row r="15" spans="1:16" s="40" customFormat="1" x14ac:dyDescent="0.2">
      <c r="A15" s="41" t="s">
        <v>827</v>
      </c>
      <c r="B15" s="464"/>
      <c r="C15" s="465">
        <v>13833</v>
      </c>
      <c r="D15" s="466"/>
      <c r="E15" s="267">
        <v>13800</v>
      </c>
      <c r="F15" s="470"/>
      <c r="G15" s="76">
        <v>13400</v>
      </c>
      <c r="I15" s="76">
        <v>13800</v>
      </c>
      <c r="K15" s="76">
        <v>13800</v>
      </c>
      <c r="M15" s="77"/>
    </row>
    <row r="16" spans="1:16" s="40" customFormat="1" x14ac:dyDescent="0.2">
      <c r="A16" s="41" t="s">
        <v>828</v>
      </c>
      <c r="B16" s="464"/>
      <c r="C16" s="465">
        <v>16763</v>
      </c>
      <c r="D16" s="466"/>
      <c r="E16" s="242">
        <v>17000</v>
      </c>
      <c r="F16" s="259"/>
      <c r="G16" s="76">
        <v>17000</v>
      </c>
      <c r="I16" s="76">
        <v>17000</v>
      </c>
      <c r="K16" s="76">
        <v>17000</v>
      </c>
      <c r="M16" s="77"/>
    </row>
    <row r="17" spans="1:13" s="37" customFormat="1" x14ac:dyDescent="0.2">
      <c r="A17" s="35" t="s">
        <v>816</v>
      </c>
      <c r="B17" s="467"/>
      <c r="C17" s="468"/>
      <c r="D17" s="469"/>
      <c r="E17" s="271"/>
      <c r="F17" s="271"/>
      <c r="G17" s="87"/>
      <c r="I17" s="87"/>
      <c r="K17" s="87"/>
      <c r="M17" s="89"/>
    </row>
    <row r="18" spans="1:13" s="40" customFormat="1" x14ac:dyDescent="0.2">
      <c r="A18" s="41" t="s">
        <v>436</v>
      </c>
      <c r="B18" s="464"/>
      <c r="C18" s="465">
        <v>2980</v>
      </c>
      <c r="D18" s="466"/>
      <c r="E18" s="242">
        <v>3285</v>
      </c>
      <c r="F18" s="259"/>
      <c r="G18" s="76">
        <v>3233</v>
      </c>
      <c r="I18" s="76">
        <v>3337</v>
      </c>
      <c r="K18" s="76">
        <v>3400</v>
      </c>
      <c r="M18" s="77"/>
    </row>
    <row r="19" spans="1:13" s="40" customFormat="1" x14ac:dyDescent="0.2">
      <c r="A19" s="41" t="s">
        <v>829</v>
      </c>
      <c r="B19" s="464"/>
      <c r="C19" s="471"/>
      <c r="D19" s="466"/>
      <c r="E19" s="259"/>
      <c r="F19" s="259"/>
      <c r="G19" s="63"/>
      <c r="I19" s="63"/>
      <c r="K19" s="63"/>
      <c r="M19" s="77"/>
    </row>
    <row r="20" spans="1:13" s="40" customFormat="1" x14ac:dyDescent="0.2">
      <c r="A20" s="90" t="s">
        <v>830</v>
      </c>
      <c r="B20" s="464"/>
      <c r="C20" s="465">
        <v>152</v>
      </c>
      <c r="D20" s="466"/>
      <c r="E20" s="267">
        <v>158</v>
      </c>
      <c r="F20" s="259"/>
      <c r="G20" s="76">
        <v>120</v>
      </c>
      <c r="I20" s="76">
        <v>130</v>
      </c>
      <c r="K20" s="76">
        <v>130</v>
      </c>
      <c r="M20" s="77"/>
    </row>
    <row r="21" spans="1:13" s="40" customFormat="1" x14ac:dyDescent="0.2">
      <c r="A21" s="90" t="s">
        <v>831</v>
      </c>
      <c r="B21" s="39"/>
      <c r="C21" s="465">
        <v>1271</v>
      </c>
      <c r="D21" s="466"/>
      <c r="E21" s="267">
        <v>1122</v>
      </c>
      <c r="F21" s="259"/>
      <c r="G21" s="76">
        <v>1200</v>
      </c>
      <c r="I21" s="76">
        <v>1200</v>
      </c>
      <c r="K21" s="76">
        <v>1200</v>
      </c>
      <c r="M21" s="77"/>
    </row>
    <row r="22" spans="1:13" s="37" customFormat="1" x14ac:dyDescent="0.2">
      <c r="A22" s="35" t="s">
        <v>3048</v>
      </c>
      <c r="B22" s="36"/>
      <c r="C22" s="468"/>
      <c r="D22" s="469"/>
      <c r="E22" s="472"/>
      <c r="F22" s="271"/>
      <c r="G22" s="87"/>
      <c r="I22" s="87"/>
      <c r="K22" s="87"/>
    </row>
    <row r="23" spans="1:13" s="40" customFormat="1" x14ac:dyDescent="0.2">
      <c r="A23" s="41" t="s">
        <v>825</v>
      </c>
      <c r="B23" s="39"/>
      <c r="C23" s="465">
        <v>720</v>
      </c>
      <c r="D23" s="466"/>
      <c r="E23" s="242">
        <v>850</v>
      </c>
      <c r="F23" s="259"/>
      <c r="G23" s="76">
        <v>800</v>
      </c>
      <c r="I23" s="76">
        <v>1000</v>
      </c>
      <c r="K23" s="76">
        <v>1100</v>
      </c>
      <c r="M23" s="77"/>
    </row>
    <row r="24" spans="1:13" s="37" customFormat="1" x14ac:dyDescent="0.2">
      <c r="A24" s="35" t="s">
        <v>765</v>
      </c>
      <c r="B24" s="36"/>
      <c r="C24" s="468"/>
      <c r="D24" s="469"/>
      <c r="E24" s="271"/>
      <c r="F24" s="271"/>
      <c r="G24" s="87"/>
      <c r="I24" s="87"/>
      <c r="K24" s="87"/>
    </row>
    <row r="25" spans="1:13" s="40" customFormat="1" x14ac:dyDescent="0.2">
      <c r="A25" s="41" t="s">
        <v>832</v>
      </c>
      <c r="B25" s="39"/>
      <c r="C25" s="465">
        <v>1260</v>
      </c>
      <c r="D25" s="466"/>
      <c r="E25" s="242">
        <v>1375</v>
      </c>
      <c r="F25" s="259"/>
      <c r="G25" s="76">
        <v>1375</v>
      </c>
      <c r="I25" s="76">
        <v>1375</v>
      </c>
      <c r="K25" s="76">
        <v>1375</v>
      </c>
      <c r="M25" s="77"/>
    </row>
    <row r="26" spans="1:13" s="40" customFormat="1" x14ac:dyDescent="0.2">
      <c r="A26" s="41"/>
      <c r="B26" s="39"/>
    </row>
    <row r="27" spans="1:13" s="37" customFormat="1" x14ac:dyDescent="0.2">
      <c r="A27" s="35" t="s">
        <v>194</v>
      </c>
      <c r="B27" s="36"/>
    </row>
    <row r="28" spans="1:13" s="37" customFormat="1" x14ac:dyDescent="0.2">
      <c r="A28" s="35" t="s">
        <v>195</v>
      </c>
      <c r="B28" s="36"/>
    </row>
    <row r="29" spans="1:13" s="40" customFormat="1" x14ac:dyDescent="0.2">
      <c r="A29" s="38" t="s">
        <v>196</v>
      </c>
      <c r="B29" s="39"/>
      <c r="E29" s="63"/>
    </row>
    <row r="30" spans="1:13" s="40" customFormat="1" x14ac:dyDescent="0.2">
      <c r="A30" s="41" t="s">
        <v>261</v>
      </c>
      <c r="B30" s="39"/>
      <c r="C30" s="473">
        <v>19</v>
      </c>
      <c r="D30" s="77"/>
      <c r="E30" s="76">
        <v>20</v>
      </c>
      <c r="G30" s="76">
        <v>19</v>
      </c>
      <c r="I30" s="76">
        <v>18</v>
      </c>
      <c r="K30" s="76">
        <v>18</v>
      </c>
      <c r="M30" s="77"/>
    </row>
    <row r="31" spans="1:13" s="40" customFormat="1" x14ac:dyDescent="0.2">
      <c r="A31" s="41" t="s">
        <v>262</v>
      </c>
      <c r="B31" s="39"/>
      <c r="C31" s="473">
        <v>258</v>
      </c>
      <c r="D31" s="77"/>
      <c r="E31" s="76">
        <v>256</v>
      </c>
      <c r="F31" s="77"/>
      <c r="G31" s="76">
        <v>255</v>
      </c>
      <c r="H31" s="77"/>
      <c r="I31" s="76">
        <v>252</v>
      </c>
      <c r="J31" s="77"/>
      <c r="K31" s="76">
        <v>268</v>
      </c>
      <c r="M31" s="77"/>
    </row>
    <row r="32" spans="1:13" s="40" customFormat="1" x14ac:dyDescent="0.2">
      <c r="A32" s="41" t="s">
        <v>198</v>
      </c>
      <c r="B32" s="39"/>
      <c r="C32" s="76">
        <f>SUM(C30:C31)</f>
        <v>277</v>
      </c>
      <c r="D32" s="77"/>
      <c r="E32" s="76">
        <f>SUM(E30:E31)</f>
        <v>276</v>
      </c>
      <c r="G32" s="76">
        <f>G30+G31</f>
        <v>274</v>
      </c>
      <c r="I32" s="76">
        <f>I30+I31</f>
        <v>270</v>
      </c>
      <c r="K32" s="76">
        <f>K30+K31</f>
        <v>286</v>
      </c>
      <c r="M32" s="77"/>
    </row>
    <row r="33" spans="1:17" s="40" customFormat="1" x14ac:dyDescent="0.2">
      <c r="A33" s="38" t="s">
        <v>199</v>
      </c>
      <c r="B33" s="39"/>
      <c r="C33" s="76"/>
      <c r="D33" s="77"/>
      <c r="E33" s="76"/>
    </row>
    <row r="34" spans="1:17" s="40" customFormat="1" x14ac:dyDescent="0.2">
      <c r="A34" s="41" t="s">
        <v>824</v>
      </c>
      <c r="B34" s="39"/>
      <c r="C34" s="473">
        <v>57</v>
      </c>
      <c r="D34" s="77"/>
      <c r="E34" s="76">
        <v>55</v>
      </c>
      <c r="G34" s="76">
        <v>54</v>
      </c>
      <c r="I34" s="76">
        <v>50</v>
      </c>
      <c r="K34" s="76">
        <v>56</v>
      </c>
      <c r="M34" s="77"/>
    </row>
    <row r="35" spans="1:17" s="40" customFormat="1" x14ac:dyDescent="0.2">
      <c r="A35" s="41" t="s">
        <v>826</v>
      </c>
      <c r="B35" s="39"/>
      <c r="C35" s="473">
        <v>33</v>
      </c>
      <c r="D35" s="77"/>
      <c r="E35" s="76">
        <v>30</v>
      </c>
      <c r="G35" s="76">
        <v>32</v>
      </c>
      <c r="I35" s="76">
        <v>29</v>
      </c>
      <c r="K35" s="76">
        <v>35</v>
      </c>
      <c r="M35" s="77"/>
    </row>
    <row r="36" spans="1:17" s="40" customFormat="1" x14ac:dyDescent="0.2">
      <c r="A36" s="41" t="s">
        <v>816</v>
      </c>
      <c r="B36" s="39"/>
      <c r="C36" s="473">
        <v>77</v>
      </c>
      <c r="D36" s="77"/>
      <c r="E36" s="76">
        <v>76</v>
      </c>
      <c r="F36" s="77"/>
      <c r="G36" s="76">
        <v>76</v>
      </c>
      <c r="H36" s="77"/>
      <c r="I36" s="76">
        <v>79</v>
      </c>
      <c r="K36" s="76">
        <v>80</v>
      </c>
      <c r="M36" s="77"/>
    </row>
    <row r="37" spans="1:17" s="40" customFormat="1" x14ac:dyDescent="0.2">
      <c r="A37" s="41" t="s">
        <v>3048</v>
      </c>
      <c r="B37" s="39"/>
      <c r="C37" s="473">
        <v>22</v>
      </c>
      <c r="D37" s="77"/>
      <c r="E37" s="76">
        <v>25</v>
      </c>
      <c r="F37" s="77"/>
      <c r="G37" s="76">
        <v>24</v>
      </c>
      <c r="H37" s="77"/>
      <c r="I37" s="76">
        <v>27</v>
      </c>
      <c r="K37" s="76">
        <v>27</v>
      </c>
      <c r="M37" s="77"/>
    </row>
    <row r="38" spans="1:17" s="40" customFormat="1" x14ac:dyDescent="0.2">
      <c r="A38" s="41" t="s">
        <v>788</v>
      </c>
      <c r="B38" s="39"/>
      <c r="C38" s="473">
        <f>56+19</f>
        <v>75</v>
      </c>
      <c r="D38" s="77"/>
      <c r="E38" s="76">
        <v>75</v>
      </c>
      <c r="F38" s="77"/>
      <c r="G38" s="76">
        <v>73</v>
      </c>
      <c r="H38" s="77"/>
      <c r="I38" s="76">
        <v>70</v>
      </c>
      <c r="K38" s="76">
        <v>74</v>
      </c>
      <c r="M38" s="77"/>
    </row>
    <row r="39" spans="1:17" s="40" customFormat="1" x14ac:dyDescent="0.2">
      <c r="A39" s="474" t="s">
        <v>740</v>
      </c>
      <c r="B39" s="39"/>
      <c r="C39" s="473">
        <v>13</v>
      </c>
      <c r="D39" s="77"/>
      <c r="E39" s="76">
        <v>15</v>
      </c>
      <c r="F39" s="77"/>
      <c r="G39" s="76">
        <v>15</v>
      </c>
      <c r="H39" s="77"/>
      <c r="I39" s="76">
        <v>15</v>
      </c>
      <c r="K39" s="76">
        <v>14</v>
      </c>
      <c r="M39" s="77"/>
    </row>
    <row r="40" spans="1:17" s="40" customFormat="1" x14ac:dyDescent="0.2">
      <c r="A40" s="41" t="s">
        <v>198</v>
      </c>
      <c r="B40" s="39"/>
      <c r="C40" s="76">
        <f>SUM(C34:C39)</f>
        <v>277</v>
      </c>
      <c r="D40" s="77"/>
      <c r="E40" s="76">
        <f>SUM(E34:E39)</f>
        <v>276</v>
      </c>
      <c r="G40" s="76">
        <f>SUM(G34:G39)</f>
        <v>274</v>
      </c>
      <c r="I40" s="76">
        <f>SUM(I34:I39)</f>
        <v>270</v>
      </c>
      <c r="K40" s="76">
        <f>SUM(K34:K39)</f>
        <v>286</v>
      </c>
      <c r="M40" s="77"/>
    </row>
    <row r="41" spans="1:17" s="37" customFormat="1" x14ac:dyDescent="0.2">
      <c r="A41" s="35"/>
      <c r="B41" s="36"/>
      <c r="K41" s="87"/>
    </row>
    <row r="42" spans="1:17" s="48" customFormat="1" x14ac:dyDescent="0.2">
      <c r="A42" s="46"/>
      <c r="B42" s="47"/>
    </row>
    <row r="43" spans="1:17" s="48" customFormat="1" x14ac:dyDescent="0.2">
      <c r="A43" s="49" t="s">
        <v>200</v>
      </c>
      <c r="B43" s="50"/>
      <c r="C43" s="51"/>
      <c r="D43" s="52"/>
      <c r="E43" s="53"/>
      <c r="F43" s="52"/>
      <c r="G43" s="53"/>
      <c r="H43" s="52"/>
      <c r="I43" s="53"/>
      <c r="J43" s="52"/>
      <c r="K43" s="53"/>
      <c r="L43" s="52"/>
      <c r="M43" s="51"/>
      <c r="N43" s="52"/>
    </row>
    <row r="44" spans="1:17" ht="27" customHeight="1" x14ac:dyDescent="0.2">
      <c r="A44" s="1738" t="s">
        <v>762</v>
      </c>
      <c r="B44" s="1736"/>
      <c r="C44" s="1737"/>
      <c r="D44" s="1736"/>
      <c r="E44" s="1737"/>
      <c r="F44" s="1736"/>
      <c r="G44" s="1737"/>
      <c r="H44" s="1736"/>
      <c r="I44" s="1737"/>
      <c r="J44" s="1736"/>
      <c r="K44" s="1737"/>
      <c r="L44" s="1736"/>
      <c r="M44" s="1737"/>
      <c r="N44" s="1736"/>
      <c r="O44" s="54"/>
      <c r="P44" s="54"/>
      <c r="Q44" s="951"/>
    </row>
    <row r="45" spans="1:17" ht="27" customHeight="1" x14ac:dyDescent="0.2">
      <c r="A45" s="1764"/>
      <c r="B45" s="1765"/>
      <c r="C45" s="1766"/>
      <c r="D45" s="1765"/>
      <c r="E45" s="1766"/>
      <c r="F45" s="1765"/>
      <c r="G45" s="1766"/>
      <c r="H45" s="1765"/>
      <c r="I45" s="1766"/>
      <c r="J45" s="1765"/>
      <c r="K45" s="1766"/>
      <c r="L45" s="1765"/>
      <c r="M45" s="1766"/>
      <c r="N45" s="1765"/>
      <c r="O45" s="54"/>
      <c r="P45" s="54"/>
    </row>
    <row r="46" spans="1:17" ht="27.75" customHeight="1" x14ac:dyDescent="0.2">
      <c r="A46" s="1738"/>
      <c r="B46" s="1736"/>
      <c r="C46" s="1737"/>
      <c r="D46" s="1736"/>
      <c r="E46" s="1737"/>
      <c r="F46" s="1736"/>
      <c r="G46" s="1737"/>
      <c r="H46" s="1736"/>
      <c r="I46" s="1737"/>
      <c r="J46" s="1736"/>
      <c r="K46" s="1737"/>
      <c r="L46" s="1736"/>
      <c r="M46" s="1737"/>
      <c r="N46" s="1736"/>
      <c r="O46" s="54"/>
      <c r="P46" s="54"/>
    </row>
    <row r="47" spans="1:17" ht="27.75" customHeight="1" x14ac:dyDescent="0.2">
      <c r="A47" s="1735"/>
      <c r="B47" s="1736"/>
      <c r="C47" s="1737"/>
      <c r="D47" s="1736"/>
      <c r="E47" s="1737"/>
      <c r="F47" s="1736"/>
      <c r="G47" s="1737"/>
      <c r="H47" s="1736"/>
      <c r="I47" s="1737"/>
      <c r="J47" s="1736"/>
      <c r="K47" s="1737"/>
      <c r="L47" s="1736"/>
      <c r="M47" s="1737"/>
      <c r="N47" s="1736"/>
      <c r="O47" s="54"/>
      <c r="P47" s="54"/>
    </row>
    <row r="48" spans="1:17" ht="27.75" customHeight="1" x14ac:dyDescent="0.2">
      <c r="A48" s="1735"/>
      <c r="B48" s="1736"/>
      <c r="C48" s="1737"/>
      <c r="D48" s="1736"/>
      <c r="E48" s="1737"/>
      <c r="F48" s="1736"/>
      <c r="G48" s="1737"/>
      <c r="H48" s="1736"/>
      <c r="I48" s="1737"/>
      <c r="J48" s="1736"/>
      <c r="K48" s="1737"/>
      <c r="L48" s="1736"/>
      <c r="M48" s="1737"/>
      <c r="N48" s="1736"/>
      <c r="O48" s="54"/>
      <c r="P48" s="54"/>
    </row>
    <row r="49" spans="1:17" ht="27.75" customHeight="1" x14ac:dyDescent="0.2">
      <c r="A49" s="1735"/>
      <c r="B49" s="1736"/>
      <c r="C49" s="1737"/>
      <c r="D49" s="1736"/>
      <c r="E49" s="1737"/>
      <c r="F49" s="1736"/>
      <c r="G49" s="1737"/>
      <c r="H49" s="1736"/>
      <c r="I49" s="1737"/>
      <c r="J49" s="1736"/>
      <c r="K49" s="1737"/>
      <c r="L49" s="1736"/>
      <c r="M49" s="1737"/>
      <c r="N49" s="1736"/>
      <c r="O49" s="54"/>
      <c r="P49" s="54"/>
    </row>
    <row r="50" spans="1:17" ht="27.75" customHeight="1" x14ac:dyDescent="0.2">
      <c r="A50" s="1735"/>
      <c r="B50" s="1736"/>
      <c r="C50" s="1737"/>
      <c r="D50" s="1736"/>
      <c r="E50" s="1737"/>
      <c r="F50" s="1736"/>
      <c r="G50" s="1737"/>
      <c r="H50" s="1736"/>
      <c r="I50" s="1737"/>
      <c r="J50" s="1736"/>
      <c r="K50" s="1737"/>
      <c r="L50" s="1736"/>
      <c r="M50" s="1737"/>
      <c r="N50" s="1736"/>
      <c r="O50" s="54"/>
      <c r="P50" s="54"/>
    </row>
    <row r="51" spans="1:17" ht="27.75" customHeight="1" x14ac:dyDescent="0.2">
      <c r="A51" s="1735"/>
      <c r="B51" s="1736"/>
      <c r="C51" s="1737"/>
      <c r="D51" s="1736"/>
      <c r="E51" s="1737"/>
      <c r="F51" s="1736"/>
      <c r="G51" s="1737"/>
      <c r="H51" s="1736"/>
      <c r="I51" s="1737"/>
      <c r="J51" s="1736"/>
      <c r="K51" s="1737"/>
      <c r="L51" s="1736"/>
      <c r="M51" s="1737"/>
      <c r="N51" s="1736"/>
      <c r="O51" s="54"/>
      <c r="P51" s="54"/>
    </row>
    <row r="52" spans="1:17" ht="27.75" customHeight="1" x14ac:dyDescent="0.2">
      <c r="A52" s="1735"/>
      <c r="B52" s="1736"/>
      <c r="C52" s="1737"/>
      <c r="D52" s="1736"/>
      <c r="E52" s="1737"/>
      <c r="F52" s="1736"/>
      <c r="G52" s="1737"/>
      <c r="H52" s="1736"/>
      <c r="I52" s="1737"/>
      <c r="J52" s="1736"/>
      <c r="K52" s="1737"/>
      <c r="L52" s="1736"/>
      <c r="M52" s="1737"/>
      <c r="N52" s="1736"/>
      <c r="O52" s="54"/>
      <c r="P52" s="54"/>
    </row>
    <row r="53" spans="1:17" ht="27.75" customHeight="1" x14ac:dyDescent="0.2">
      <c r="A53" s="1735"/>
      <c r="B53" s="1736"/>
      <c r="C53" s="1737"/>
      <c r="D53" s="1736"/>
      <c r="E53" s="1737"/>
      <c r="F53" s="1736"/>
      <c r="G53" s="1737"/>
      <c r="H53" s="1736"/>
      <c r="I53" s="1737"/>
      <c r="J53" s="1736"/>
      <c r="K53" s="1737"/>
      <c r="L53" s="1736"/>
      <c r="M53" s="1737"/>
      <c r="N53" s="1736"/>
      <c r="O53" s="54"/>
      <c r="P53" s="54"/>
    </row>
    <row r="54" spans="1:17" x14ac:dyDescent="0.2">
      <c r="A54" s="55"/>
      <c r="B54" s="54"/>
      <c r="C54" s="56"/>
      <c r="D54" s="54"/>
      <c r="E54" s="56"/>
      <c r="F54" s="54"/>
      <c r="G54" s="56"/>
      <c r="H54" s="54"/>
      <c r="I54" s="56"/>
      <c r="J54" s="54"/>
      <c r="K54" s="56"/>
      <c r="L54" s="54"/>
      <c r="M54" s="56"/>
      <c r="N54" s="54"/>
      <c r="O54" s="54"/>
      <c r="P54" s="54"/>
    </row>
    <row r="55" spans="1:17" x14ac:dyDescent="0.2">
      <c r="A55" s="55"/>
      <c r="B55" s="54"/>
      <c r="C55" s="54"/>
      <c r="D55" s="54"/>
      <c r="E55" s="54"/>
      <c r="F55" s="54"/>
      <c r="G55" s="54"/>
      <c r="H55" s="54"/>
      <c r="I55" s="54"/>
      <c r="J55" s="54"/>
      <c r="K55" s="54"/>
      <c r="L55" s="54"/>
      <c r="M55" s="54"/>
      <c r="N55" s="54"/>
      <c r="O55" s="54"/>
      <c r="P55" s="54"/>
    </row>
    <row r="56" spans="1:17" x14ac:dyDescent="0.2">
      <c r="A56" s="55"/>
      <c r="B56" s="54"/>
      <c r="C56" s="56"/>
      <c r="D56" s="54"/>
      <c r="E56" s="56"/>
      <c r="F56" s="54"/>
      <c r="G56" s="56"/>
      <c r="H56" s="54"/>
      <c r="I56" s="56"/>
      <c r="J56" s="54"/>
      <c r="K56" s="56"/>
      <c r="L56" s="54"/>
      <c r="M56" s="56"/>
      <c r="N56" s="54"/>
      <c r="O56" s="54"/>
      <c r="P56" s="54"/>
    </row>
    <row r="57" spans="1:17" x14ac:dyDescent="0.2">
      <c r="A57" s="55"/>
      <c r="B57" s="54"/>
      <c r="C57" s="54"/>
      <c r="D57" s="54"/>
      <c r="E57" s="54"/>
      <c r="F57" s="54"/>
      <c r="G57" s="54"/>
      <c r="H57" s="54"/>
      <c r="I57" s="54"/>
      <c r="J57" s="54"/>
      <c r="K57" s="54"/>
      <c r="L57" s="54"/>
      <c r="M57" s="54"/>
      <c r="N57" s="54"/>
      <c r="O57" s="54"/>
      <c r="P57" s="54"/>
    </row>
    <row r="58" spans="1:17" x14ac:dyDescent="0.2">
      <c r="A58" s="55"/>
      <c r="B58" s="54"/>
      <c r="C58" s="56"/>
      <c r="D58" s="54"/>
      <c r="E58" s="56"/>
      <c r="F58" s="54"/>
      <c r="G58" s="56"/>
      <c r="H58" s="54"/>
      <c r="I58" s="56"/>
      <c r="J58" s="54"/>
      <c r="K58" s="56"/>
      <c r="L58" s="54"/>
      <c r="M58" s="56"/>
      <c r="N58" s="54"/>
      <c r="O58" s="54"/>
      <c r="P58" s="54"/>
    </row>
    <row r="59" spans="1:17" x14ac:dyDescent="0.2">
      <c r="A59" s="55"/>
      <c r="B59" s="54"/>
      <c r="C59" s="54"/>
      <c r="D59" s="54"/>
      <c r="E59" s="54"/>
      <c r="F59" s="54"/>
      <c r="G59" s="54"/>
      <c r="H59" s="54"/>
      <c r="I59" s="54"/>
      <c r="J59" s="54"/>
      <c r="K59" s="54"/>
      <c r="L59" s="54"/>
      <c r="M59" s="54"/>
      <c r="N59" s="54"/>
      <c r="O59" s="54"/>
      <c r="P59" s="54"/>
    </row>
    <row r="60" spans="1:17" x14ac:dyDescent="0.2">
      <c r="A60" s="55"/>
      <c r="B60" s="54"/>
      <c r="C60" s="54"/>
      <c r="D60" s="54"/>
      <c r="E60" s="54"/>
      <c r="F60" s="54"/>
      <c r="G60" s="54"/>
      <c r="H60" s="54"/>
      <c r="I60" s="54"/>
      <c r="J60" s="54"/>
      <c r="K60" s="54"/>
      <c r="L60" s="54"/>
      <c r="M60" s="54"/>
      <c r="N60" s="54"/>
      <c r="O60" s="54"/>
      <c r="P60" s="54"/>
    </row>
    <row r="61" spans="1:17" x14ac:dyDescent="0.2">
      <c r="A61" s="55"/>
      <c r="B61" s="54"/>
      <c r="C61" s="54"/>
      <c r="D61" s="54"/>
      <c r="E61" s="54"/>
      <c r="F61" s="54"/>
      <c r="G61" s="54"/>
      <c r="H61" s="54"/>
      <c r="I61" s="54"/>
      <c r="J61" s="54"/>
      <c r="K61" s="54"/>
      <c r="L61" s="54"/>
      <c r="M61" s="54"/>
      <c r="N61" s="54"/>
      <c r="O61" s="54"/>
      <c r="P61" s="54"/>
      <c r="Q61" s="57"/>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row r="107" spans="2:2" x14ac:dyDescent="0.2">
      <c r="B107" s="25"/>
    </row>
  </sheetData>
  <mergeCells count="11">
    <mergeCell ref="A50:N50"/>
    <mergeCell ref="A51:N51"/>
    <mergeCell ref="A52:N52"/>
    <mergeCell ref="A53:N53"/>
    <mergeCell ref="K2:K3"/>
    <mergeCell ref="A44:N44"/>
    <mergeCell ref="A45:N45"/>
    <mergeCell ref="A46:N46"/>
    <mergeCell ref="A47:N47"/>
    <mergeCell ref="A48:N48"/>
    <mergeCell ref="A49:N49"/>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4">
    <pageSetUpPr fitToPage="1"/>
  </sheetPr>
  <dimension ref="A1:W196"/>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23" s="4" customFormat="1" ht="15.75" x14ac:dyDescent="0.2">
      <c r="A1" s="1" t="s">
        <v>174</v>
      </c>
      <c r="B1" s="2">
        <v>2019</v>
      </c>
      <c r="C1" s="3"/>
      <c r="E1" s="3"/>
      <c r="G1" s="5"/>
      <c r="I1" s="5"/>
      <c r="J1" s="6"/>
      <c r="K1" s="5"/>
      <c r="L1" s="6"/>
      <c r="M1" s="5"/>
      <c r="N1" s="6"/>
    </row>
    <row r="2" spans="1:23" s="4" customFormat="1" ht="15.75" x14ac:dyDescent="0.25">
      <c r="A2" s="1" t="s">
        <v>175</v>
      </c>
      <c r="B2" s="7" t="s">
        <v>176</v>
      </c>
      <c r="C2" s="7" t="s">
        <v>0</v>
      </c>
      <c r="D2" s="6"/>
      <c r="E2" s="8"/>
      <c r="F2" s="9"/>
      <c r="G2" s="8"/>
      <c r="H2" s="6"/>
      <c r="I2" s="8"/>
      <c r="J2" s="6"/>
      <c r="K2" s="1733" t="s">
        <v>171</v>
      </c>
      <c r="L2" s="6"/>
      <c r="M2" s="8"/>
      <c r="N2" s="6"/>
    </row>
    <row r="3" spans="1:23" s="4" customFormat="1" ht="15.75" x14ac:dyDescent="0.25">
      <c r="A3" s="1" t="s">
        <v>177</v>
      </c>
      <c r="B3" s="10" t="s">
        <v>818</v>
      </c>
      <c r="C3" s="10" t="s">
        <v>833</v>
      </c>
      <c r="D3" s="6"/>
      <c r="E3" s="11"/>
      <c r="F3" s="9"/>
      <c r="G3" s="11"/>
      <c r="H3" s="6"/>
      <c r="I3" s="11"/>
      <c r="J3" s="6"/>
      <c r="K3" s="1734"/>
      <c r="L3" s="6"/>
      <c r="M3" s="11"/>
      <c r="N3" s="6"/>
    </row>
    <row r="4" spans="1:23" s="4" customFormat="1" ht="15.75" x14ac:dyDescent="0.25">
      <c r="A4" s="1" t="s">
        <v>180</v>
      </c>
      <c r="B4" s="10" t="s">
        <v>834</v>
      </c>
      <c r="C4" s="10" t="s">
        <v>23</v>
      </c>
      <c r="D4" s="6"/>
      <c r="E4" s="11"/>
      <c r="F4" s="9"/>
      <c r="G4" s="11"/>
      <c r="H4" s="6"/>
      <c r="I4" s="11"/>
      <c r="J4" s="6"/>
      <c r="K4" s="11"/>
      <c r="L4" s="6"/>
      <c r="M4" s="11"/>
      <c r="N4" s="6"/>
    </row>
    <row r="5" spans="1:23" s="4" customFormat="1" ht="15.75" x14ac:dyDescent="0.2">
      <c r="A5" s="1" t="s">
        <v>183</v>
      </c>
      <c r="B5" s="12" t="s">
        <v>211</v>
      </c>
      <c r="C5" s="12" t="s">
        <v>211</v>
      </c>
      <c r="D5" s="13"/>
      <c r="E5" s="14"/>
      <c r="G5" s="14"/>
      <c r="I5" s="14"/>
      <c r="K5" s="14"/>
      <c r="M5" s="14"/>
    </row>
    <row r="6" spans="1:23" s="4" customFormat="1" ht="15.75" x14ac:dyDescent="0.25">
      <c r="A6" s="15" t="s">
        <v>186</v>
      </c>
      <c r="B6" s="16">
        <v>4</v>
      </c>
      <c r="C6" s="17"/>
      <c r="D6" s="18"/>
      <c r="E6" s="19"/>
      <c r="F6" s="9"/>
      <c r="G6" s="8"/>
      <c r="H6" s="6"/>
      <c r="I6" s="8"/>
      <c r="J6" s="6"/>
      <c r="K6" s="8"/>
      <c r="L6" s="6"/>
      <c r="M6" s="8"/>
      <c r="N6" s="6"/>
    </row>
    <row r="7" spans="1:23" s="24" customFormat="1" x14ac:dyDescent="0.2">
      <c r="A7" s="20"/>
      <c r="B7" s="21"/>
      <c r="C7" s="22"/>
      <c r="D7" s="23"/>
      <c r="E7" s="22"/>
      <c r="F7" s="23"/>
      <c r="G7" s="22"/>
      <c r="H7" s="23"/>
      <c r="I7" s="22"/>
      <c r="J7" s="23"/>
      <c r="K7" s="22" t="s">
        <v>187</v>
      </c>
      <c r="L7" s="23"/>
      <c r="M7" s="22" t="s">
        <v>187</v>
      </c>
      <c r="N7" s="23"/>
    </row>
    <row r="8" spans="1:23"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23"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23" s="37" customFormat="1" x14ac:dyDescent="0.2">
      <c r="A10" s="411" t="s">
        <v>222</v>
      </c>
      <c r="B10" s="36"/>
      <c r="C10" s="475"/>
    </row>
    <row r="11" spans="1:23" s="37" customFormat="1" x14ac:dyDescent="0.2">
      <c r="A11" s="411" t="s">
        <v>835</v>
      </c>
      <c r="B11" s="36"/>
      <c r="C11" s="258"/>
      <c r="D11" s="87"/>
      <c r="E11" s="87"/>
      <c r="F11" s="87"/>
      <c r="G11" s="87"/>
      <c r="I11" s="87"/>
    </row>
    <row r="12" spans="1:23" s="118" customFormat="1" x14ac:dyDescent="0.2">
      <c r="A12" s="124" t="s">
        <v>836</v>
      </c>
      <c r="B12" s="117"/>
      <c r="C12" s="476">
        <v>90824</v>
      </c>
      <c r="D12" s="476"/>
      <c r="E12" s="477">
        <v>90000</v>
      </c>
      <c r="F12" s="478"/>
      <c r="G12" s="478">
        <v>91000</v>
      </c>
      <c r="I12" s="477">
        <v>90000</v>
      </c>
      <c r="K12" s="477">
        <v>90000</v>
      </c>
      <c r="M12" s="433"/>
      <c r="O12" s="479"/>
      <c r="P12" s="479"/>
      <c r="Q12" s="479"/>
      <c r="R12" s="479"/>
      <c r="S12" s="479"/>
      <c r="T12" s="479"/>
      <c r="U12" s="479"/>
      <c r="V12" s="479"/>
      <c r="W12" s="479"/>
    </row>
    <row r="13" spans="1:23" s="118" customFormat="1" x14ac:dyDescent="0.2">
      <c r="A13" s="124" t="s">
        <v>837</v>
      </c>
      <c r="B13" s="480"/>
      <c r="C13" s="476">
        <v>286826</v>
      </c>
      <c r="D13" s="476"/>
      <c r="E13" s="477">
        <v>280000</v>
      </c>
      <c r="F13" s="476"/>
      <c r="G13" s="476">
        <v>295000</v>
      </c>
      <c r="I13" s="477">
        <v>280000</v>
      </c>
      <c r="K13" s="477">
        <v>280000</v>
      </c>
      <c r="M13" s="120"/>
      <c r="O13" s="479"/>
      <c r="P13" s="479"/>
      <c r="Q13" s="479"/>
      <c r="R13" s="479"/>
      <c r="S13" s="479"/>
      <c r="T13" s="479"/>
      <c r="U13" s="479"/>
      <c r="V13" s="479"/>
      <c r="W13" s="479"/>
    </row>
    <row r="14" spans="1:23" s="37" customFormat="1" x14ac:dyDescent="0.2">
      <c r="A14" s="411" t="s">
        <v>838</v>
      </c>
      <c r="B14" s="36"/>
      <c r="C14" s="481"/>
      <c r="D14" s="481"/>
      <c r="E14" s="482"/>
      <c r="F14" s="481"/>
      <c r="G14" s="481"/>
      <c r="I14" s="483"/>
      <c r="K14" s="482"/>
      <c r="O14" s="484"/>
      <c r="P14" s="484"/>
      <c r="Q14" s="484"/>
      <c r="R14" s="484"/>
      <c r="S14" s="484"/>
      <c r="T14" s="484"/>
      <c r="U14" s="484"/>
      <c r="V14" s="484"/>
      <c r="W14" s="484"/>
    </row>
    <row r="15" spans="1:23" s="40" customFormat="1" x14ac:dyDescent="0.2">
      <c r="A15" s="485" t="s">
        <v>839</v>
      </c>
      <c r="B15" s="39"/>
      <c r="C15" s="486">
        <v>311</v>
      </c>
      <c r="D15" s="486"/>
      <c r="E15" s="487">
        <v>309</v>
      </c>
      <c r="F15" s="486"/>
      <c r="G15" s="488">
        <v>311</v>
      </c>
      <c r="I15" s="487">
        <v>336</v>
      </c>
      <c r="K15" s="487">
        <v>336</v>
      </c>
      <c r="M15" s="42"/>
      <c r="O15" s="1768"/>
      <c r="P15" s="1768"/>
      <c r="Q15" s="1768"/>
      <c r="R15" s="1768"/>
      <c r="S15" s="1768"/>
      <c r="T15" s="1768"/>
      <c r="U15" s="1768"/>
      <c r="V15" s="1768"/>
      <c r="W15" s="489"/>
    </row>
    <row r="16" spans="1:23" s="40" customFormat="1" x14ac:dyDescent="0.2">
      <c r="A16" s="490" t="s">
        <v>840</v>
      </c>
      <c r="B16" s="39"/>
      <c r="C16" s="491"/>
      <c r="D16" s="491"/>
      <c r="E16" s="492"/>
      <c r="F16" s="491"/>
      <c r="G16" s="491"/>
      <c r="I16" s="492"/>
      <c r="K16" s="493"/>
      <c r="O16" s="489"/>
      <c r="P16" s="489"/>
      <c r="Q16" s="489"/>
      <c r="R16" s="489"/>
      <c r="S16" s="489"/>
      <c r="T16" s="489"/>
      <c r="U16" s="489"/>
      <c r="V16" s="489"/>
      <c r="W16" s="489"/>
    </row>
    <row r="17" spans="1:23" s="40" customFormat="1" x14ac:dyDescent="0.2">
      <c r="A17" s="494" t="s">
        <v>841</v>
      </c>
      <c r="B17" s="495"/>
      <c r="C17" s="488">
        <v>66811</v>
      </c>
      <c r="D17" s="488"/>
      <c r="E17" s="492">
        <v>67104</v>
      </c>
      <c r="F17" s="488"/>
      <c r="G17" s="488">
        <v>70000</v>
      </c>
      <c r="H17" s="496"/>
      <c r="I17" s="492">
        <v>67379</v>
      </c>
      <c r="J17" s="496"/>
      <c r="K17" s="492">
        <v>67655</v>
      </c>
      <c r="M17" s="497"/>
      <c r="N17" s="496"/>
      <c r="O17" s="1769"/>
      <c r="P17" s="1769"/>
      <c r="Q17" s="1769"/>
      <c r="R17" s="1769"/>
      <c r="S17" s="1769"/>
      <c r="T17" s="1769"/>
      <c r="U17" s="1769"/>
      <c r="V17" s="1769"/>
      <c r="W17" s="1769"/>
    </row>
    <row r="18" spans="1:23" s="40" customFormat="1" x14ac:dyDescent="0.2">
      <c r="A18" s="41" t="s">
        <v>842</v>
      </c>
      <c r="B18" s="39"/>
      <c r="C18" s="478">
        <v>9831</v>
      </c>
      <c r="D18" s="478"/>
      <c r="E18" s="492">
        <v>9368</v>
      </c>
      <c r="F18" s="478"/>
      <c r="G18" s="478">
        <v>9831</v>
      </c>
      <c r="I18" s="492">
        <v>9831</v>
      </c>
      <c r="K18" s="492">
        <v>9831</v>
      </c>
      <c r="M18" s="42"/>
      <c r="O18" s="489"/>
      <c r="P18" s="489"/>
      <c r="Q18" s="489"/>
      <c r="R18" s="489"/>
      <c r="S18" s="489"/>
      <c r="T18" s="489"/>
      <c r="U18" s="489"/>
      <c r="V18" s="489"/>
      <c r="W18" s="489"/>
    </row>
    <row r="19" spans="1:23" s="40" customFormat="1" x14ac:dyDescent="0.2">
      <c r="A19" s="490" t="s">
        <v>843</v>
      </c>
      <c r="B19" s="39"/>
      <c r="C19" s="478"/>
      <c r="D19" s="478"/>
      <c r="E19" s="492"/>
      <c r="F19" s="478"/>
      <c r="G19" s="478"/>
      <c r="I19" s="492"/>
      <c r="K19" s="493"/>
      <c r="O19" s="489"/>
      <c r="P19" s="489"/>
      <c r="Q19" s="489"/>
      <c r="R19" s="489"/>
      <c r="S19" s="489"/>
      <c r="T19" s="489"/>
      <c r="U19" s="489"/>
      <c r="V19" s="489"/>
      <c r="W19" s="489"/>
    </row>
    <row r="20" spans="1:23" s="40" customFormat="1" x14ac:dyDescent="0.2">
      <c r="A20" s="41" t="s">
        <v>844</v>
      </c>
      <c r="B20" s="39"/>
      <c r="C20" s="498">
        <v>4.5</v>
      </c>
      <c r="D20" s="498"/>
      <c r="E20" s="499">
        <v>4.5</v>
      </c>
      <c r="F20" s="498"/>
      <c r="G20" s="498">
        <v>4.5</v>
      </c>
      <c r="I20" s="499">
        <v>4.5</v>
      </c>
      <c r="K20" s="499">
        <v>4.5</v>
      </c>
      <c r="M20" s="500"/>
      <c r="O20" s="489"/>
      <c r="P20" s="489"/>
      <c r="Q20" s="489"/>
      <c r="R20" s="489"/>
      <c r="S20" s="489"/>
      <c r="T20" s="489"/>
      <c r="U20" s="489"/>
      <c r="V20" s="489"/>
      <c r="W20" s="489"/>
    </row>
    <row r="21" spans="1:23" s="40" customFormat="1" x14ac:dyDescent="0.2">
      <c r="A21" s="41" t="s">
        <v>845</v>
      </c>
      <c r="B21" s="39"/>
      <c r="C21" s="478"/>
      <c r="D21" s="478"/>
      <c r="E21" s="499"/>
      <c r="F21" s="478"/>
      <c r="G21" s="478"/>
      <c r="I21" s="499"/>
      <c r="K21" s="499"/>
      <c r="O21" s="489"/>
      <c r="P21" s="489"/>
      <c r="Q21" s="489"/>
      <c r="R21" s="489"/>
      <c r="S21" s="489"/>
      <c r="T21" s="489"/>
      <c r="U21" s="489"/>
      <c r="V21" s="489"/>
      <c r="W21" s="489"/>
    </row>
    <row r="22" spans="1:23" s="40" customFormat="1" x14ac:dyDescent="0.2">
      <c r="A22" s="41" t="s">
        <v>846</v>
      </c>
      <c r="B22" s="39"/>
      <c r="C22" s="478">
        <v>11</v>
      </c>
      <c r="D22" s="478"/>
      <c r="E22" s="492">
        <v>11</v>
      </c>
      <c r="F22" s="478"/>
      <c r="G22" s="478">
        <v>10</v>
      </c>
      <c r="I22" s="492">
        <v>11</v>
      </c>
      <c r="K22" s="492">
        <v>11</v>
      </c>
      <c r="M22" s="42"/>
      <c r="O22" s="489"/>
      <c r="P22" s="489"/>
      <c r="Q22" s="489"/>
      <c r="R22" s="489"/>
      <c r="S22" s="489"/>
      <c r="T22" s="489"/>
      <c r="U22" s="489"/>
      <c r="V22" s="489"/>
      <c r="W22" s="489"/>
    </row>
    <row r="23" spans="1:23" s="118" customFormat="1" x14ac:dyDescent="0.2">
      <c r="A23" s="124" t="s">
        <v>847</v>
      </c>
      <c r="B23" s="117"/>
      <c r="C23" s="478">
        <v>98455</v>
      </c>
      <c r="D23" s="478"/>
      <c r="E23" s="492">
        <v>97297</v>
      </c>
      <c r="F23" s="476"/>
      <c r="G23" s="476">
        <v>96494</v>
      </c>
      <c r="I23" s="492">
        <v>96250</v>
      </c>
      <c r="K23" s="492">
        <v>95500</v>
      </c>
      <c r="M23" s="433"/>
      <c r="O23" s="479"/>
      <c r="P23" s="479"/>
      <c r="Q23" s="479"/>
      <c r="R23" s="479"/>
      <c r="S23" s="479"/>
      <c r="T23" s="479"/>
      <c r="U23" s="479"/>
      <c r="V23" s="479"/>
      <c r="W23" s="479"/>
    </row>
    <row r="24" spans="1:23" s="118" customFormat="1" x14ac:dyDescent="0.2">
      <c r="A24" s="501" t="s">
        <v>848</v>
      </c>
      <c r="B24" s="502"/>
      <c r="C24" s="486">
        <v>8792</v>
      </c>
      <c r="D24" s="486"/>
      <c r="E24" s="487">
        <v>9074</v>
      </c>
      <c r="F24" s="486"/>
      <c r="G24" s="486">
        <v>9071</v>
      </c>
      <c r="I24" s="487">
        <v>8962</v>
      </c>
      <c r="K24" s="492">
        <v>9195</v>
      </c>
      <c r="M24" s="433"/>
      <c r="O24" s="1770"/>
      <c r="P24" s="1770"/>
      <c r="Q24" s="1770"/>
      <c r="R24" s="1770"/>
      <c r="S24" s="1770"/>
      <c r="T24" s="1770"/>
      <c r="U24" s="1770"/>
      <c r="V24" s="1770"/>
      <c r="W24" s="1770"/>
    </row>
    <row r="25" spans="1:23" s="118" customFormat="1" x14ac:dyDescent="0.2">
      <c r="A25" s="501" t="s">
        <v>849</v>
      </c>
      <c r="B25" s="502"/>
      <c r="C25" s="486">
        <v>26025</v>
      </c>
      <c r="D25" s="486"/>
      <c r="E25" s="487">
        <v>27409</v>
      </c>
      <c r="F25" s="486"/>
      <c r="G25" s="486">
        <v>30587</v>
      </c>
      <c r="I25" s="487">
        <v>28793</v>
      </c>
      <c r="K25" s="487">
        <v>30177</v>
      </c>
      <c r="M25" s="433"/>
      <c r="O25" s="1771"/>
      <c r="P25" s="1771"/>
      <c r="Q25" s="1771"/>
      <c r="R25" s="1771"/>
      <c r="S25" s="1771"/>
      <c r="T25" s="1771"/>
      <c r="U25" s="1771"/>
      <c r="V25" s="1771"/>
      <c r="W25" s="1771"/>
    </row>
    <row r="26" spans="1:23" s="40" customFormat="1" x14ac:dyDescent="0.2">
      <c r="A26" s="494" t="s">
        <v>850</v>
      </c>
      <c r="B26" s="495"/>
      <c r="C26" s="486">
        <v>42119</v>
      </c>
      <c r="D26" s="486"/>
      <c r="E26" s="487">
        <v>44173</v>
      </c>
      <c r="F26" s="488"/>
      <c r="G26" s="488">
        <v>45000</v>
      </c>
      <c r="I26" s="487">
        <v>45500</v>
      </c>
      <c r="K26" s="492">
        <v>47000</v>
      </c>
      <c r="M26" s="42"/>
      <c r="O26" s="1767"/>
      <c r="P26" s="1767"/>
      <c r="Q26" s="1767"/>
      <c r="R26" s="1767"/>
      <c r="S26" s="1767"/>
      <c r="T26" s="1767"/>
      <c r="U26" s="1767"/>
      <c r="V26" s="1767"/>
      <c r="W26" s="1767"/>
    </row>
    <row r="27" spans="1:23" s="40" customFormat="1" x14ac:dyDescent="0.2">
      <c r="A27" s="501" t="s">
        <v>851</v>
      </c>
      <c r="B27" s="502"/>
      <c r="C27" s="486">
        <v>272630</v>
      </c>
      <c r="D27" s="486"/>
      <c r="E27" s="487">
        <v>263037</v>
      </c>
      <c r="F27" s="486"/>
      <c r="G27" s="486">
        <v>264500</v>
      </c>
      <c r="I27" s="487">
        <v>255150</v>
      </c>
      <c r="K27" s="492">
        <v>246410</v>
      </c>
      <c r="M27" s="42"/>
      <c r="O27" s="1767"/>
      <c r="P27" s="1767"/>
      <c r="Q27" s="1767"/>
      <c r="R27" s="1767"/>
      <c r="S27" s="1767"/>
      <c r="T27" s="1767"/>
      <c r="U27" s="1767"/>
      <c r="V27" s="1767"/>
      <c r="W27" s="1767"/>
    </row>
    <row r="28" spans="1:23" s="40" customFormat="1" x14ac:dyDescent="0.2">
      <c r="A28" s="490" t="s">
        <v>852</v>
      </c>
      <c r="B28" s="39"/>
      <c r="C28" s="476"/>
      <c r="D28" s="476"/>
      <c r="E28" s="476"/>
      <c r="F28" s="478"/>
      <c r="G28" s="478"/>
      <c r="I28" s="478"/>
      <c r="O28" s="489"/>
      <c r="P28" s="489"/>
      <c r="Q28" s="489"/>
      <c r="R28" s="489"/>
      <c r="S28" s="489"/>
      <c r="T28" s="489"/>
      <c r="U28" s="489"/>
      <c r="V28" s="489"/>
      <c r="W28" s="489"/>
    </row>
    <row r="29" spans="1:23" s="118" customFormat="1" x14ac:dyDescent="0.2">
      <c r="A29" s="501" t="s">
        <v>853</v>
      </c>
      <c r="B29" s="503"/>
      <c r="C29" s="486">
        <v>100176</v>
      </c>
      <c r="D29" s="486"/>
      <c r="E29" s="487">
        <v>100000</v>
      </c>
      <c r="F29" s="486"/>
      <c r="G29" s="486">
        <v>94000</v>
      </c>
      <c r="I29" s="487">
        <v>110000</v>
      </c>
      <c r="K29" s="487">
        <v>122000</v>
      </c>
      <c r="M29" s="433"/>
      <c r="O29" s="1773"/>
      <c r="P29" s="1773"/>
      <c r="Q29" s="1773"/>
      <c r="R29" s="1773"/>
      <c r="S29" s="1773"/>
      <c r="T29" s="1773"/>
      <c r="U29" s="1773"/>
      <c r="V29" s="1773"/>
      <c r="W29" s="479"/>
    </row>
    <row r="30" spans="1:23" s="40" customFormat="1" x14ac:dyDescent="0.2">
      <c r="A30" s="490" t="s">
        <v>854</v>
      </c>
      <c r="B30" s="39"/>
      <c r="C30" s="476"/>
      <c r="D30" s="476"/>
      <c r="E30" s="487"/>
      <c r="F30" s="478"/>
      <c r="G30" s="478"/>
      <c r="I30" s="487"/>
      <c r="K30" s="493"/>
      <c r="O30" s="489"/>
      <c r="P30" s="489"/>
      <c r="Q30" s="489"/>
      <c r="R30" s="489"/>
      <c r="S30" s="489"/>
      <c r="T30" s="489"/>
      <c r="U30" s="489"/>
      <c r="V30" s="489"/>
      <c r="W30" s="489"/>
    </row>
    <row r="31" spans="1:23" s="40" customFormat="1" x14ac:dyDescent="0.2">
      <c r="A31" s="494" t="s">
        <v>855</v>
      </c>
      <c r="B31" s="495"/>
      <c r="C31" s="486">
        <v>214741</v>
      </c>
      <c r="D31" s="486"/>
      <c r="E31" s="487">
        <v>204129</v>
      </c>
      <c r="F31" s="488"/>
      <c r="G31" s="488">
        <v>206000</v>
      </c>
      <c r="I31" s="487">
        <v>206000</v>
      </c>
      <c r="K31" s="492">
        <v>206000</v>
      </c>
      <c r="M31" s="42"/>
      <c r="O31" s="1767"/>
      <c r="P31" s="1767"/>
      <c r="Q31" s="1767"/>
      <c r="R31" s="1767"/>
      <c r="S31" s="1767"/>
      <c r="T31" s="1767"/>
      <c r="U31" s="1767"/>
      <c r="V31" s="1767"/>
      <c r="W31" s="1767"/>
    </row>
    <row r="32" spans="1:23" s="40" customFormat="1" x14ac:dyDescent="0.2">
      <c r="A32" s="494" t="s">
        <v>856</v>
      </c>
      <c r="B32" s="504"/>
      <c r="C32" s="486">
        <v>1024</v>
      </c>
      <c r="D32" s="486"/>
      <c r="E32" s="487">
        <v>1029</v>
      </c>
      <c r="F32" s="488"/>
      <c r="G32" s="488">
        <v>5900</v>
      </c>
      <c r="I32" s="487">
        <v>3720</v>
      </c>
      <c r="K32" s="492">
        <v>4700</v>
      </c>
      <c r="M32" s="42"/>
      <c r="O32" s="1767"/>
      <c r="P32" s="1767"/>
      <c r="Q32" s="1767"/>
      <c r="R32" s="1767"/>
      <c r="S32" s="1767"/>
      <c r="T32" s="1767"/>
      <c r="U32" s="1767"/>
      <c r="V32" s="1767"/>
      <c r="W32" s="1767"/>
    </row>
    <row r="33" spans="1:23" s="40" customFormat="1" x14ac:dyDescent="0.2">
      <c r="A33" s="490" t="s">
        <v>857</v>
      </c>
      <c r="B33" s="39"/>
      <c r="C33" s="476"/>
      <c r="D33" s="476"/>
      <c r="E33" s="487"/>
      <c r="F33" s="478"/>
      <c r="G33" s="478"/>
      <c r="I33" s="487"/>
      <c r="K33" s="493"/>
      <c r="O33" s="489"/>
      <c r="P33" s="489"/>
      <c r="Q33" s="489"/>
      <c r="R33" s="489"/>
      <c r="S33" s="489"/>
      <c r="T33" s="489"/>
      <c r="U33" s="489"/>
      <c r="V33" s="489"/>
      <c r="W33" s="489"/>
    </row>
    <row r="34" spans="1:23" s="40" customFormat="1" x14ac:dyDescent="0.2">
      <c r="A34" s="41" t="s">
        <v>858</v>
      </c>
      <c r="B34" s="39"/>
      <c r="C34" s="476">
        <v>157</v>
      </c>
      <c r="D34" s="476"/>
      <c r="E34" s="487">
        <v>171</v>
      </c>
      <c r="F34" s="478"/>
      <c r="G34" s="478">
        <v>175</v>
      </c>
      <c r="I34" s="487">
        <v>180</v>
      </c>
      <c r="K34" s="487">
        <v>198</v>
      </c>
      <c r="M34" s="42"/>
      <c r="O34" s="505"/>
      <c r="P34" s="489"/>
      <c r="Q34" s="489"/>
      <c r="R34" s="489"/>
      <c r="S34" s="489"/>
      <c r="T34" s="489"/>
      <c r="U34" s="489"/>
      <c r="V34" s="489"/>
      <c r="W34" s="489"/>
    </row>
    <row r="35" spans="1:23" s="118" customFormat="1" x14ac:dyDescent="0.2">
      <c r="A35" s="506" t="s">
        <v>859</v>
      </c>
      <c r="B35" s="117"/>
      <c r="C35" s="486"/>
      <c r="D35" s="486"/>
      <c r="E35" s="487"/>
      <c r="F35" s="486"/>
      <c r="G35" s="486"/>
      <c r="I35" s="487"/>
      <c r="K35" s="493"/>
      <c r="O35" s="1774"/>
      <c r="P35" s="1774"/>
      <c r="Q35" s="1774"/>
      <c r="R35" s="1774"/>
      <c r="S35" s="1774"/>
      <c r="T35" s="1774"/>
      <c r="U35" s="1774"/>
      <c r="V35" s="1774"/>
      <c r="W35" s="1774"/>
    </row>
    <row r="36" spans="1:23" s="118" customFormat="1" ht="16.5" customHeight="1" x14ac:dyDescent="0.2">
      <c r="A36" s="501" t="s">
        <v>860</v>
      </c>
      <c r="B36" s="502"/>
      <c r="C36" s="507">
        <v>20112</v>
      </c>
      <c r="D36" s="507"/>
      <c r="E36" s="487">
        <v>18249</v>
      </c>
      <c r="F36" s="507"/>
      <c r="G36" s="507">
        <v>19500</v>
      </c>
      <c r="I36" s="487">
        <v>18200</v>
      </c>
      <c r="K36" s="492">
        <v>18200</v>
      </c>
      <c r="M36" s="433"/>
      <c r="O36" s="1774"/>
      <c r="P36" s="1774"/>
      <c r="Q36" s="1774"/>
      <c r="R36" s="1774"/>
      <c r="S36" s="1774"/>
      <c r="T36" s="1774"/>
      <c r="U36" s="1774"/>
      <c r="V36" s="1774"/>
      <c r="W36" s="1774"/>
    </row>
    <row r="37" spans="1:23" s="40" customFormat="1" x14ac:dyDescent="0.2">
      <c r="A37" s="124" t="s">
        <v>861</v>
      </c>
      <c r="B37" s="117"/>
      <c r="C37" s="476">
        <v>1959</v>
      </c>
      <c r="D37" s="476"/>
      <c r="E37" s="487">
        <v>1905</v>
      </c>
      <c r="F37" s="478"/>
      <c r="G37" s="478">
        <v>2000</v>
      </c>
      <c r="I37" s="487">
        <v>1905</v>
      </c>
      <c r="K37" s="487">
        <v>1905</v>
      </c>
      <c r="M37" s="42"/>
      <c r="O37" s="489"/>
      <c r="P37" s="489"/>
      <c r="Q37" s="489"/>
      <c r="R37" s="489"/>
      <c r="S37" s="489"/>
      <c r="T37" s="489"/>
      <c r="U37" s="489"/>
      <c r="V37" s="489"/>
      <c r="W37" s="489"/>
    </row>
    <row r="38" spans="1:23" s="37" customFormat="1" x14ac:dyDescent="0.2">
      <c r="A38" s="411" t="s">
        <v>862</v>
      </c>
      <c r="B38" s="36"/>
      <c r="C38" s="476"/>
      <c r="D38" s="476"/>
      <c r="E38" s="508"/>
      <c r="F38" s="481"/>
      <c r="G38" s="481"/>
      <c r="I38" s="509"/>
      <c r="K38" s="508"/>
      <c r="O38" s="484"/>
      <c r="P38" s="484"/>
      <c r="Q38" s="484"/>
      <c r="R38" s="484"/>
      <c r="S38" s="484"/>
      <c r="T38" s="484"/>
      <c r="U38" s="484"/>
      <c r="V38" s="484"/>
      <c r="W38" s="484"/>
    </row>
    <row r="39" spans="1:23" s="40" customFormat="1" x14ac:dyDescent="0.2">
      <c r="A39" s="490" t="s">
        <v>863</v>
      </c>
      <c r="B39" s="39"/>
      <c r="C39" s="476"/>
      <c r="D39" s="476"/>
      <c r="E39" s="510"/>
      <c r="F39" s="478"/>
      <c r="G39" s="478"/>
      <c r="I39" s="478"/>
      <c r="K39" s="510"/>
      <c r="O39" s="489"/>
      <c r="P39" s="489"/>
      <c r="Q39" s="489"/>
      <c r="R39" s="489"/>
      <c r="S39" s="489"/>
      <c r="T39" s="489"/>
      <c r="U39" s="489"/>
      <c r="V39" s="489"/>
      <c r="W39" s="489"/>
    </row>
    <row r="40" spans="1:23" s="40" customFormat="1" x14ac:dyDescent="0.2">
      <c r="A40" s="494" t="s">
        <v>864</v>
      </c>
      <c r="B40" s="495"/>
      <c r="C40" s="511">
        <v>58037</v>
      </c>
      <c r="D40" s="488"/>
      <c r="E40" s="512">
        <v>60933</v>
      </c>
      <c r="F40" s="488"/>
      <c r="G40" s="511">
        <v>85595</v>
      </c>
      <c r="I40" s="513">
        <v>63980</v>
      </c>
      <c r="K40" s="512">
        <v>67179</v>
      </c>
      <c r="M40" s="77"/>
      <c r="O40" s="1767"/>
      <c r="P40" s="1767"/>
      <c r="Q40" s="1767"/>
      <c r="R40" s="1767"/>
      <c r="S40" s="1767"/>
      <c r="T40" s="1767"/>
      <c r="U40" s="1767"/>
      <c r="V40" s="1767"/>
      <c r="W40" s="1767"/>
    </row>
    <row r="41" spans="1:23" s="40" customFormat="1" x14ac:dyDescent="0.2">
      <c r="A41" s="494" t="s">
        <v>865</v>
      </c>
      <c r="B41" s="514"/>
      <c r="C41" s="488">
        <v>2421738</v>
      </c>
      <c r="D41" s="488"/>
      <c r="E41" s="515">
        <v>2760334</v>
      </c>
      <c r="F41" s="488"/>
      <c r="G41" s="488">
        <v>3162348</v>
      </c>
      <c r="I41" s="516">
        <v>3143542</v>
      </c>
      <c r="K41" s="515">
        <v>3526750</v>
      </c>
      <c r="M41" s="42"/>
      <c r="O41" s="1775"/>
      <c r="P41" s="1775"/>
      <c r="Q41" s="1775"/>
      <c r="R41" s="1775"/>
      <c r="S41" s="1775"/>
      <c r="T41" s="1775"/>
      <c r="U41" s="1775"/>
      <c r="V41" s="1775"/>
      <c r="W41" s="1775"/>
    </row>
    <row r="42" spans="1:23" s="40" customFormat="1" x14ac:dyDescent="0.2">
      <c r="A42" s="490" t="s">
        <v>866</v>
      </c>
      <c r="B42" s="39"/>
      <c r="C42" s="486"/>
      <c r="D42" s="476"/>
      <c r="E42" s="476"/>
      <c r="F42" s="478"/>
      <c r="G42" s="478"/>
      <c r="I42" s="478"/>
      <c r="O42" s="489"/>
      <c r="P42" s="489"/>
      <c r="Q42" s="489"/>
      <c r="R42" s="489"/>
      <c r="S42" s="489"/>
      <c r="T42" s="489"/>
      <c r="U42" s="489"/>
      <c r="V42" s="489"/>
      <c r="W42" s="489"/>
    </row>
    <row r="43" spans="1:23" s="40" customFormat="1" ht="22.5" customHeight="1" x14ac:dyDescent="0.2">
      <c r="A43" s="494" t="s">
        <v>867</v>
      </c>
      <c r="B43" s="517"/>
      <c r="C43" s="486">
        <v>294</v>
      </c>
      <c r="D43" s="486"/>
      <c r="E43" s="518">
        <v>300</v>
      </c>
      <c r="F43" s="486"/>
      <c r="G43" s="486">
        <v>425</v>
      </c>
      <c r="I43" s="509">
        <v>309</v>
      </c>
      <c r="K43" s="519">
        <v>309</v>
      </c>
      <c r="M43" s="42"/>
      <c r="O43" s="1767"/>
      <c r="P43" s="1767"/>
      <c r="Q43" s="1767"/>
      <c r="R43" s="1767"/>
      <c r="S43" s="1767"/>
      <c r="T43" s="1767"/>
      <c r="U43" s="489"/>
      <c r="V43" s="489"/>
      <c r="W43" s="489"/>
    </row>
    <row r="44" spans="1:23" s="40" customFormat="1" x14ac:dyDescent="0.2">
      <c r="A44" s="41" t="s">
        <v>868</v>
      </c>
      <c r="B44" s="39"/>
      <c r="C44" s="476">
        <v>24254</v>
      </c>
      <c r="D44" s="476"/>
      <c r="E44" s="518">
        <v>25500</v>
      </c>
      <c r="F44" s="476"/>
      <c r="G44" s="486">
        <v>20000</v>
      </c>
      <c r="H44" s="119"/>
      <c r="I44" s="509">
        <v>25500</v>
      </c>
      <c r="J44" s="119"/>
      <c r="K44" s="519">
        <v>25500</v>
      </c>
      <c r="M44" s="520"/>
      <c r="N44" s="119"/>
      <c r="O44" s="521"/>
      <c r="P44" s="119"/>
      <c r="Q44" s="119"/>
      <c r="R44" s="119"/>
      <c r="S44" s="119"/>
      <c r="T44" s="119"/>
      <c r="U44" s="118"/>
      <c r="V44" s="118"/>
      <c r="W44" s="118"/>
    </row>
    <row r="45" spans="1:23" s="40" customFormat="1" x14ac:dyDescent="0.2">
      <c r="A45" s="41" t="s">
        <v>869</v>
      </c>
      <c r="B45" s="39"/>
      <c r="C45" s="522">
        <v>0.87</v>
      </c>
      <c r="D45" s="523"/>
      <c r="E45" s="524">
        <v>0.87</v>
      </c>
      <c r="F45" s="523"/>
      <c r="G45" s="522">
        <v>0.9</v>
      </c>
      <c r="H45" s="118"/>
      <c r="I45" s="525">
        <v>0.9</v>
      </c>
      <c r="J45" s="118"/>
      <c r="K45" s="526">
        <v>0.9</v>
      </c>
      <c r="M45" s="527"/>
      <c r="N45" s="118"/>
      <c r="O45" s="1772"/>
      <c r="P45" s="1772"/>
      <c r="Q45" s="1772"/>
      <c r="R45" s="1772"/>
      <c r="S45" s="1772"/>
      <c r="T45" s="1772"/>
      <c r="U45" s="1772"/>
      <c r="V45" s="1772"/>
      <c r="W45" s="1772"/>
    </row>
    <row r="46" spans="1:23" s="40" customFormat="1" x14ac:dyDescent="0.2">
      <c r="A46" s="490" t="s">
        <v>870</v>
      </c>
      <c r="B46" s="39"/>
      <c r="C46" s="476"/>
      <c r="D46" s="476"/>
      <c r="E46" s="476"/>
      <c r="F46" s="478"/>
      <c r="G46" s="478"/>
      <c r="I46" s="478"/>
    </row>
    <row r="47" spans="1:23" s="40" customFormat="1" x14ac:dyDescent="0.2">
      <c r="A47" s="41" t="s">
        <v>871</v>
      </c>
      <c r="B47" s="39"/>
      <c r="C47" s="476">
        <v>775</v>
      </c>
      <c r="D47" s="476"/>
      <c r="E47" s="487">
        <v>806</v>
      </c>
      <c r="F47" s="478"/>
      <c r="G47" s="478">
        <v>761</v>
      </c>
      <c r="I47" s="487">
        <v>750</v>
      </c>
      <c r="K47" s="493">
        <v>750</v>
      </c>
      <c r="M47" s="528"/>
    </row>
    <row r="48" spans="1:23" s="40" customFormat="1" x14ac:dyDescent="0.2">
      <c r="A48" s="494" t="s">
        <v>872</v>
      </c>
      <c r="B48" s="517"/>
      <c r="C48" s="486">
        <v>7291</v>
      </c>
      <c r="D48" s="486"/>
      <c r="E48" s="487">
        <v>8859</v>
      </c>
      <c r="F48" s="488"/>
      <c r="G48" s="488">
        <v>8380</v>
      </c>
      <c r="I48" s="487">
        <v>7550</v>
      </c>
      <c r="K48" s="493">
        <v>7550</v>
      </c>
      <c r="M48" s="78"/>
      <c r="O48" s="1776"/>
      <c r="P48" s="1776"/>
      <c r="Q48" s="1776"/>
      <c r="R48" s="1776"/>
      <c r="S48" s="1776"/>
      <c r="T48" s="1776"/>
      <c r="U48" s="1776"/>
      <c r="V48" s="1776"/>
      <c r="W48" s="1776"/>
    </row>
    <row r="49" spans="1:23" s="40" customFormat="1" x14ac:dyDescent="0.2">
      <c r="A49" s="41" t="s">
        <v>873</v>
      </c>
      <c r="B49" s="39"/>
      <c r="C49" s="476">
        <v>3360</v>
      </c>
      <c r="D49" s="476"/>
      <c r="E49" s="487">
        <v>3300</v>
      </c>
      <c r="F49" s="478"/>
      <c r="G49" s="478">
        <v>3200</v>
      </c>
      <c r="I49" s="487">
        <v>2840</v>
      </c>
      <c r="K49" s="493">
        <v>2840</v>
      </c>
      <c r="M49" s="528"/>
    </row>
    <row r="50" spans="1:23" s="40" customFormat="1" x14ac:dyDescent="0.2">
      <c r="A50" s="494" t="s">
        <v>874</v>
      </c>
      <c r="B50" s="517"/>
      <c r="C50" s="486">
        <v>506</v>
      </c>
      <c r="D50" s="486"/>
      <c r="E50" s="486">
        <v>519</v>
      </c>
      <c r="F50" s="488"/>
      <c r="G50" s="488">
        <v>510</v>
      </c>
      <c r="I50" s="487">
        <v>450</v>
      </c>
      <c r="K50" s="493">
        <v>450</v>
      </c>
      <c r="M50" s="528"/>
      <c r="O50" s="1776"/>
      <c r="P50" s="1776"/>
      <c r="Q50" s="1776"/>
      <c r="R50" s="1776"/>
      <c r="S50" s="1776"/>
      <c r="T50" s="1776"/>
      <c r="U50" s="1776"/>
      <c r="V50" s="1776"/>
      <c r="W50" s="1776"/>
    </row>
    <row r="51" spans="1:23" s="40" customFormat="1" x14ac:dyDescent="0.2">
      <c r="A51" s="494" t="s">
        <v>875</v>
      </c>
      <c r="B51" s="517"/>
      <c r="C51" s="486">
        <v>3682</v>
      </c>
      <c r="D51" s="486"/>
      <c r="E51" s="486">
        <v>3777</v>
      </c>
      <c r="F51" s="488"/>
      <c r="G51" s="488">
        <v>3711</v>
      </c>
      <c r="I51" s="487">
        <v>3500</v>
      </c>
      <c r="K51" s="493">
        <v>3500</v>
      </c>
      <c r="M51" s="528"/>
      <c r="O51" s="1776"/>
      <c r="P51" s="1776"/>
      <c r="Q51" s="1776"/>
      <c r="R51" s="1776"/>
      <c r="S51" s="1776"/>
      <c r="T51" s="1776"/>
      <c r="U51" s="1776"/>
      <c r="V51" s="1776"/>
      <c r="W51" s="1776"/>
    </row>
    <row r="52" spans="1:23" s="118" customFormat="1" x14ac:dyDescent="0.2">
      <c r="A52" s="501" t="s">
        <v>876</v>
      </c>
      <c r="B52" s="529"/>
      <c r="C52" s="486">
        <v>38</v>
      </c>
      <c r="D52" s="486"/>
      <c r="E52" s="486">
        <v>38</v>
      </c>
      <c r="F52" s="486"/>
      <c r="G52" s="486">
        <v>38</v>
      </c>
      <c r="I52" s="487">
        <v>38</v>
      </c>
      <c r="K52" s="530">
        <v>38</v>
      </c>
      <c r="M52" s="531"/>
      <c r="O52" s="1772"/>
      <c r="P52" s="1772"/>
      <c r="Q52" s="1772"/>
      <c r="R52" s="1772"/>
      <c r="S52" s="1772"/>
      <c r="T52" s="1772"/>
      <c r="U52" s="1772"/>
      <c r="V52" s="1772"/>
      <c r="W52" s="1772"/>
    </row>
    <row r="53" spans="1:23" s="40" customFormat="1" x14ac:dyDescent="0.2">
      <c r="A53" s="490" t="s">
        <v>877</v>
      </c>
      <c r="B53" s="39"/>
      <c r="C53" s="476"/>
      <c r="D53" s="476"/>
      <c r="E53" s="476"/>
      <c r="F53" s="478"/>
      <c r="G53" s="478"/>
      <c r="I53" s="478"/>
    </row>
    <row r="54" spans="1:23" s="40" customFormat="1" x14ac:dyDescent="0.2">
      <c r="A54" s="41" t="s">
        <v>878</v>
      </c>
      <c r="B54" s="39"/>
      <c r="C54" s="522">
        <v>0.9</v>
      </c>
      <c r="D54" s="532"/>
      <c r="E54" s="526">
        <v>0.9</v>
      </c>
      <c r="F54" s="532"/>
      <c r="G54" s="522">
        <v>0.9</v>
      </c>
      <c r="I54" s="533">
        <v>0.9</v>
      </c>
      <c r="K54" s="526">
        <v>0.9</v>
      </c>
      <c r="M54" s="534"/>
    </row>
    <row r="55" spans="1:23" s="40" customFormat="1" x14ac:dyDescent="0.2">
      <c r="A55" s="41" t="s">
        <v>879</v>
      </c>
      <c r="B55" s="39"/>
      <c r="C55" s="476">
        <v>1221</v>
      </c>
      <c r="D55" s="476"/>
      <c r="E55" s="518">
        <v>1282</v>
      </c>
      <c r="F55" s="535"/>
      <c r="G55" s="476">
        <v>1377</v>
      </c>
      <c r="H55" s="521"/>
      <c r="I55" s="509">
        <v>1346</v>
      </c>
      <c r="J55" s="521"/>
      <c r="K55" s="519">
        <v>1413</v>
      </c>
      <c r="M55" s="536"/>
      <c r="N55" s="119"/>
      <c r="O55" s="537"/>
      <c r="P55" s="119"/>
      <c r="Q55" s="119"/>
      <c r="R55" s="119"/>
      <c r="S55" s="119"/>
      <c r="T55" s="119"/>
      <c r="U55" s="119"/>
    </row>
    <row r="56" spans="1:23" s="40" customFormat="1" x14ac:dyDescent="0.2">
      <c r="A56" s="41" t="s">
        <v>880</v>
      </c>
      <c r="B56" s="39"/>
      <c r="C56" s="476">
        <v>1134</v>
      </c>
      <c r="D56" s="476"/>
      <c r="E56" s="518">
        <v>1191</v>
      </c>
      <c r="F56" s="535"/>
      <c r="G56" s="476">
        <v>1297</v>
      </c>
      <c r="H56" s="521"/>
      <c r="I56" s="509">
        <v>1251</v>
      </c>
      <c r="J56" s="521"/>
      <c r="K56" s="519">
        <v>1314</v>
      </c>
      <c r="M56" s="536"/>
      <c r="N56" s="119"/>
      <c r="O56" s="537"/>
      <c r="P56" s="119"/>
      <c r="Q56" s="119"/>
      <c r="R56" s="119"/>
      <c r="S56" s="119"/>
      <c r="T56" s="119"/>
      <c r="U56" s="119"/>
    </row>
    <row r="57" spans="1:23" s="118" customFormat="1" x14ac:dyDescent="0.2">
      <c r="A57" s="124" t="s">
        <v>881</v>
      </c>
      <c r="B57" s="117"/>
      <c r="C57" s="476">
        <v>8174</v>
      </c>
      <c r="D57" s="476"/>
      <c r="E57" s="538">
        <v>8582</v>
      </c>
      <c r="F57" s="535"/>
      <c r="G57" s="476">
        <v>9698</v>
      </c>
      <c r="H57" s="521"/>
      <c r="I57" s="509">
        <v>9011</v>
      </c>
      <c r="J57" s="521"/>
      <c r="K57" s="539">
        <v>9462</v>
      </c>
      <c r="M57" s="536"/>
      <c r="N57" s="119"/>
      <c r="O57" s="537"/>
      <c r="P57" s="119"/>
      <c r="Q57" s="119"/>
      <c r="R57" s="119"/>
      <c r="S57" s="119"/>
      <c r="T57" s="119"/>
      <c r="U57" s="119"/>
    </row>
    <row r="58" spans="1:23" s="118" customFormat="1" x14ac:dyDescent="0.2">
      <c r="A58" s="124" t="s">
        <v>882</v>
      </c>
      <c r="B58" s="117"/>
      <c r="C58" s="476">
        <v>3143</v>
      </c>
      <c r="D58" s="476"/>
      <c r="E58" s="538">
        <v>3183</v>
      </c>
      <c r="F58" s="535"/>
      <c r="G58" s="476">
        <v>6789</v>
      </c>
      <c r="H58" s="521"/>
      <c r="I58" s="509">
        <v>3465</v>
      </c>
      <c r="J58" s="521"/>
      <c r="K58" s="539">
        <v>3638</v>
      </c>
      <c r="M58" s="536"/>
      <c r="N58" s="119"/>
      <c r="O58" s="537"/>
      <c r="P58" s="119"/>
      <c r="Q58" s="119"/>
      <c r="R58" s="119"/>
      <c r="S58" s="119"/>
      <c r="T58" s="119"/>
      <c r="U58" s="119"/>
    </row>
    <row r="59" spans="1:23" s="118" customFormat="1" x14ac:dyDescent="0.2">
      <c r="A59" s="124" t="s">
        <v>883</v>
      </c>
      <c r="B59" s="117"/>
      <c r="C59" s="476">
        <v>34850</v>
      </c>
      <c r="D59" s="476"/>
      <c r="E59" s="538">
        <v>36309</v>
      </c>
      <c r="F59" s="535"/>
      <c r="G59" s="476">
        <v>38554</v>
      </c>
      <c r="H59" s="521"/>
      <c r="I59" s="509">
        <v>38124</v>
      </c>
      <c r="J59" s="521"/>
      <c r="K59" s="539">
        <v>40030</v>
      </c>
      <c r="M59" s="536"/>
      <c r="N59" s="119"/>
      <c r="O59" s="537"/>
      <c r="P59" s="119"/>
      <c r="Q59" s="119"/>
      <c r="R59" s="119"/>
      <c r="S59" s="119"/>
      <c r="T59" s="119"/>
      <c r="U59" s="119"/>
    </row>
    <row r="60" spans="1:23" s="118" customFormat="1" x14ac:dyDescent="0.2">
      <c r="A60" s="124" t="s">
        <v>884</v>
      </c>
      <c r="B60" s="117"/>
      <c r="C60" s="476">
        <v>10284</v>
      </c>
      <c r="D60" s="476"/>
      <c r="E60" s="538">
        <v>10798</v>
      </c>
      <c r="F60" s="535"/>
      <c r="G60" s="476">
        <v>11566</v>
      </c>
      <c r="H60" s="521"/>
      <c r="I60" s="509">
        <v>11300</v>
      </c>
      <c r="J60" s="521"/>
      <c r="K60" s="539">
        <v>11860</v>
      </c>
      <c r="M60" s="536"/>
      <c r="N60" s="119"/>
      <c r="O60" s="537"/>
      <c r="P60" s="119"/>
      <c r="Q60" s="119"/>
      <c r="R60" s="119"/>
      <c r="S60" s="119"/>
      <c r="T60" s="119"/>
      <c r="U60" s="119"/>
    </row>
    <row r="61" spans="1:23" s="118" customFormat="1" x14ac:dyDescent="0.2">
      <c r="A61" s="124" t="s">
        <v>885</v>
      </c>
      <c r="B61" s="117"/>
      <c r="C61" s="476">
        <v>13000</v>
      </c>
      <c r="D61" s="476"/>
      <c r="E61" s="538">
        <v>13650</v>
      </c>
      <c r="F61" s="476"/>
      <c r="G61" s="476">
        <v>14500</v>
      </c>
      <c r="H61" s="537"/>
      <c r="I61" s="509">
        <v>14333</v>
      </c>
      <c r="J61" s="537"/>
      <c r="K61" s="539">
        <v>15050</v>
      </c>
      <c r="M61" s="531"/>
    </row>
    <row r="62" spans="1:23" s="40" customFormat="1" x14ac:dyDescent="0.2">
      <c r="A62" s="490" t="s">
        <v>886</v>
      </c>
      <c r="B62" s="39"/>
      <c r="C62" s="476"/>
      <c r="D62" s="476"/>
      <c r="E62" s="476"/>
      <c r="F62" s="478"/>
      <c r="G62" s="478"/>
      <c r="I62" s="478"/>
    </row>
    <row r="63" spans="1:23" s="40" customFormat="1" x14ac:dyDescent="0.2">
      <c r="A63" s="41" t="s">
        <v>887</v>
      </c>
      <c r="B63" s="39"/>
      <c r="C63" s="476">
        <v>4350</v>
      </c>
      <c r="D63" s="476"/>
      <c r="E63" s="492">
        <v>4747</v>
      </c>
      <c r="F63" s="476"/>
      <c r="G63" s="476">
        <v>4400</v>
      </c>
      <c r="I63" s="487">
        <v>4476</v>
      </c>
      <c r="K63" s="492">
        <v>4500</v>
      </c>
      <c r="M63" s="528"/>
      <c r="O63" s="143"/>
    </row>
    <row r="64" spans="1:23" s="118" customFormat="1" x14ac:dyDescent="0.2">
      <c r="A64" s="501" t="s">
        <v>888</v>
      </c>
      <c r="B64" s="529"/>
      <c r="C64" s="486">
        <v>389658</v>
      </c>
      <c r="D64" s="486"/>
      <c r="E64" s="487">
        <v>452207</v>
      </c>
      <c r="F64" s="486"/>
      <c r="G64" s="486">
        <v>400000</v>
      </c>
      <c r="I64" s="487">
        <v>450000</v>
      </c>
      <c r="K64" s="487">
        <v>450000</v>
      </c>
      <c r="M64" s="531"/>
      <c r="O64" s="1778"/>
      <c r="P64" s="1778"/>
      <c r="Q64" s="1778"/>
      <c r="R64" s="1778"/>
      <c r="S64" s="1778"/>
      <c r="T64" s="1778"/>
      <c r="U64" s="1778"/>
    </row>
    <row r="65" spans="1:15" s="40" customFormat="1" x14ac:dyDescent="0.2">
      <c r="A65" s="41" t="s">
        <v>889</v>
      </c>
      <c r="B65" s="39"/>
      <c r="C65" s="476">
        <v>3025</v>
      </c>
      <c r="D65" s="476"/>
      <c r="E65" s="492">
        <v>3376</v>
      </c>
      <c r="F65" s="476"/>
      <c r="G65" s="476">
        <v>2800</v>
      </c>
      <c r="I65" s="487">
        <v>3400</v>
      </c>
      <c r="K65" s="492">
        <v>3500</v>
      </c>
      <c r="M65" s="528"/>
      <c r="O65" s="143"/>
    </row>
    <row r="66" spans="1:15" s="40" customFormat="1" x14ac:dyDescent="0.2">
      <c r="A66" s="41" t="s">
        <v>890</v>
      </c>
      <c r="B66" s="39"/>
      <c r="C66" s="476">
        <v>181</v>
      </c>
      <c r="D66" s="476"/>
      <c r="E66" s="492">
        <v>229</v>
      </c>
      <c r="F66" s="476"/>
      <c r="G66" s="476">
        <v>100</v>
      </c>
      <c r="I66" s="487">
        <v>100</v>
      </c>
      <c r="K66" s="492">
        <v>100</v>
      </c>
      <c r="M66" s="78"/>
      <c r="O66" s="143"/>
    </row>
    <row r="67" spans="1:15" s="40" customFormat="1" x14ac:dyDescent="0.2">
      <c r="A67" s="490" t="s">
        <v>891</v>
      </c>
      <c r="B67" s="39"/>
      <c r="C67" s="476"/>
      <c r="D67" s="476"/>
      <c r="E67" s="476"/>
      <c r="F67" s="476"/>
      <c r="G67" s="476"/>
      <c r="I67" s="476"/>
      <c r="M67" s="74"/>
      <c r="O67" s="143"/>
    </row>
    <row r="68" spans="1:15" s="118" customFormat="1" x14ac:dyDescent="0.2">
      <c r="A68" s="124" t="s">
        <v>892</v>
      </c>
      <c r="B68" s="117"/>
      <c r="C68" s="476">
        <v>50407</v>
      </c>
      <c r="D68" s="476"/>
      <c r="E68" s="487">
        <v>61662</v>
      </c>
      <c r="F68" s="476"/>
      <c r="G68" s="476">
        <v>50000</v>
      </c>
      <c r="I68" s="487">
        <v>62000</v>
      </c>
      <c r="K68" s="487">
        <v>62000</v>
      </c>
      <c r="M68" s="531"/>
      <c r="O68" s="537"/>
    </row>
    <row r="69" spans="1:15" s="40" customFormat="1" x14ac:dyDescent="0.2">
      <c r="A69" s="41" t="s">
        <v>893</v>
      </c>
      <c r="B69" s="39"/>
      <c r="C69" s="476">
        <v>322</v>
      </c>
      <c r="D69" s="476"/>
      <c r="E69" s="492">
        <v>415</v>
      </c>
      <c r="F69" s="476"/>
      <c r="G69" s="476">
        <v>375</v>
      </c>
      <c r="I69" s="487">
        <v>375</v>
      </c>
      <c r="K69" s="492">
        <v>375</v>
      </c>
      <c r="M69" s="78"/>
      <c r="O69" s="143"/>
    </row>
    <row r="70" spans="1:15" s="40" customFormat="1" x14ac:dyDescent="0.2">
      <c r="A70" s="540" t="s">
        <v>894</v>
      </c>
      <c r="B70" s="39"/>
      <c r="C70" s="476"/>
      <c r="D70" s="476"/>
      <c r="E70" s="476"/>
      <c r="F70" s="476"/>
      <c r="G70" s="476"/>
      <c r="I70" s="476"/>
      <c r="M70" s="74"/>
      <c r="O70" s="143"/>
    </row>
    <row r="71" spans="1:15" s="40" customFormat="1" x14ac:dyDescent="0.2">
      <c r="A71" s="41" t="s">
        <v>895</v>
      </c>
      <c r="B71" s="39"/>
      <c r="C71" s="522">
        <v>0.98</v>
      </c>
      <c r="D71" s="522"/>
      <c r="E71" s="526">
        <v>0.97</v>
      </c>
      <c r="F71" s="522"/>
      <c r="G71" s="522">
        <v>0.98</v>
      </c>
      <c r="I71" s="541">
        <v>0.97</v>
      </c>
      <c r="K71" s="526">
        <v>0.97</v>
      </c>
      <c r="M71" s="534"/>
      <c r="O71" s="143"/>
    </row>
    <row r="72" spans="1:15" s="40" customFormat="1" x14ac:dyDescent="0.2">
      <c r="A72" s="41" t="s">
        <v>896</v>
      </c>
      <c r="B72" s="39"/>
      <c r="C72" s="522">
        <v>0.98</v>
      </c>
      <c r="D72" s="522"/>
      <c r="E72" s="524">
        <v>0.97</v>
      </c>
      <c r="F72" s="522"/>
      <c r="G72" s="522">
        <v>0.98</v>
      </c>
      <c r="I72" s="542">
        <v>0.97</v>
      </c>
      <c r="K72" s="524">
        <v>0.97</v>
      </c>
      <c r="M72" s="534"/>
      <c r="O72" s="143"/>
    </row>
    <row r="73" spans="1:15" s="40" customFormat="1" x14ac:dyDescent="0.2">
      <c r="A73" s="41" t="s">
        <v>897</v>
      </c>
      <c r="B73" s="39"/>
      <c r="C73" s="522">
        <v>0.98</v>
      </c>
      <c r="D73" s="522"/>
      <c r="E73" s="524">
        <v>0.97</v>
      </c>
      <c r="F73" s="522"/>
      <c r="G73" s="522">
        <v>0.98</v>
      </c>
      <c r="I73" s="542">
        <v>0.97</v>
      </c>
      <c r="K73" s="524">
        <v>0.97</v>
      </c>
      <c r="M73" s="534"/>
      <c r="O73" s="143"/>
    </row>
    <row r="74" spans="1:15" s="40" customFormat="1" x14ac:dyDescent="0.2">
      <c r="A74" s="41" t="s">
        <v>898</v>
      </c>
      <c r="B74" s="39"/>
      <c r="C74" s="522">
        <v>0.98</v>
      </c>
      <c r="D74" s="522"/>
      <c r="E74" s="524">
        <v>0.97</v>
      </c>
      <c r="F74" s="522"/>
      <c r="G74" s="522">
        <v>0.98</v>
      </c>
      <c r="I74" s="542">
        <v>0.97</v>
      </c>
      <c r="K74" s="524">
        <v>0.97</v>
      </c>
      <c r="M74" s="534"/>
      <c r="O74" s="143"/>
    </row>
    <row r="75" spans="1:15" s="40" customFormat="1" x14ac:dyDescent="0.2">
      <c r="A75" s="41" t="s">
        <v>899</v>
      </c>
      <c r="B75" s="39"/>
      <c r="C75" s="522">
        <v>0.98</v>
      </c>
      <c r="D75" s="522"/>
      <c r="E75" s="524">
        <v>0.97</v>
      </c>
      <c r="F75" s="522"/>
      <c r="G75" s="522">
        <v>0.98</v>
      </c>
      <c r="I75" s="542">
        <v>0.97</v>
      </c>
      <c r="K75" s="524">
        <v>0.97</v>
      </c>
      <c r="M75" s="534"/>
      <c r="O75" s="143"/>
    </row>
    <row r="76" spans="1:15" s="118" customFormat="1" x14ac:dyDescent="0.2">
      <c r="A76" s="124" t="s">
        <v>900</v>
      </c>
      <c r="B76" s="117"/>
      <c r="C76" s="476">
        <v>159372</v>
      </c>
      <c r="D76" s="476"/>
      <c r="E76" s="487">
        <v>192531</v>
      </c>
      <c r="F76" s="476"/>
      <c r="G76" s="476">
        <v>160000</v>
      </c>
      <c r="I76" s="487">
        <v>194625</v>
      </c>
      <c r="K76" s="487">
        <v>194625</v>
      </c>
      <c r="M76" s="159"/>
      <c r="O76" s="537"/>
    </row>
    <row r="77" spans="1:15" s="40" customFormat="1" x14ac:dyDescent="0.2">
      <c r="A77" s="41" t="s">
        <v>901</v>
      </c>
      <c r="B77" s="39"/>
      <c r="C77" s="476">
        <v>2395</v>
      </c>
      <c r="D77" s="476"/>
      <c r="E77" s="492">
        <v>2100</v>
      </c>
      <c r="F77" s="476"/>
      <c r="G77" s="476">
        <v>2500</v>
      </c>
      <c r="I77" s="487">
        <v>2500</v>
      </c>
      <c r="K77" s="492">
        <v>2500</v>
      </c>
      <c r="M77" s="528"/>
      <c r="O77" s="143"/>
    </row>
    <row r="78" spans="1:15" s="40" customFormat="1" x14ac:dyDescent="0.2">
      <c r="A78" s="490" t="s">
        <v>902</v>
      </c>
      <c r="B78" s="39"/>
      <c r="C78" s="476"/>
      <c r="D78" s="476"/>
      <c r="E78" s="476"/>
      <c r="F78" s="476"/>
      <c r="G78" s="476"/>
      <c r="I78" s="476"/>
      <c r="M78" s="74"/>
      <c r="O78" s="143"/>
    </row>
    <row r="79" spans="1:15" s="118" customFormat="1" x14ac:dyDescent="0.2">
      <c r="A79" s="124" t="s">
        <v>903</v>
      </c>
      <c r="B79" s="117"/>
      <c r="C79" s="476">
        <v>150</v>
      </c>
      <c r="D79" s="476"/>
      <c r="E79" s="487">
        <v>175</v>
      </c>
      <c r="F79" s="476"/>
      <c r="G79" s="476">
        <v>175</v>
      </c>
      <c r="I79" s="487">
        <v>175</v>
      </c>
      <c r="K79" s="487">
        <v>175</v>
      </c>
      <c r="M79" s="159"/>
      <c r="O79" s="537"/>
    </row>
    <row r="80" spans="1:15" s="40" customFormat="1" x14ac:dyDescent="0.2">
      <c r="A80" s="41" t="s">
        <v>904</v>
      </c>
      <c r="B80" s="39"/>
      <c r="C80" s="476">
        <v>370</v>
      </c>
      <c r="D80" s="476"/>
      <c r="E80" s="492">
        <v>390</v>
      </c>
      <c r="F80" s="476"/>
      <c r="G80" s="476">
        <v>390</v>
      </c>
      <c r="I80" s="487">
        <v>400</v>
      </c>
      <c r="K80" s="492">
        <v>400</v>
      </c>
      <c r="M80" s="528"/>
      <c r="O80" s="143"/>
    </row>
    <row r="81" spans="1:23" s="118" customFormat="1" x14ac:dyDescent="0.2">
      <c r="A81" s="124" t="s">
        <v>905</v>
      </c>
      <c r="B81" s="117"/>
      <c r="C81" s="476">
        <v>49</v>
      </c>
      <c r="D81" s="476"/>
      <c r="E81" s="487">
        <v>50</v>
      </c>
      <c r="F81" s="476"/>
      <c r="G81" s="476">
        <v>50</v>
      </c>
      <c r="I81" s="487">
        <v>55</v>
      </c>
      <c r="K81" s="487">
        <v>55</v>
      </c>
      <c r="M81" s="531"/>
      <c r="O81" s="537"/>
    </row>
    <row r="82" spans="1:23" s="40" customFormat="1" x14ac:dyDescent="0.2">
      <c r="A82" s="490" t="s">
        <v>906</v>
      </c>
      <c r="B82" s="39"/>
      <c r="C82" s="476"/>
      <c r="D82" s="476"/>
      <c r="E82" s="492"/>
      <c r="F82" s="476"/>
      <c r="G82" s="476"/>
      <c r="I82" s="487"/>
      <c r="M82" s="74"/>
      <c r="O82" s="143"/>
    </row>
    <row r="83" spans="1:23" s="40" customFormat="1" x14ac:dyDescent="0.2">
      <c r="A83" s="41" t="s">
        <v>907</v>
      </c>
      <c r="B83" s="39"/>
      <c r="C83" s="476">
        <v>30</v>
      </c>
      <c r="D83" s="476"/>
      <c r="E83" s="492">
        <v>30</v>
      </c>
      <c r="F83" s="476"/>
      <c r="G83" s="476">
        <v>50</v>
      </c>
      <c r="I83" s="487">
        <v>93</v>
      </c>
      <c r="K83" s="492">
        <v>100</v>
      </c>
      <c r="M83" s="528"/>
      <c r="O83" s="543"/>
    </row>
    <row r="84" spans="1:23" s="40" customFormat="1" x14ac:dyDescent="0.2">
      <c r="A84" s="494" t="s">
        <v>908</v>
      </c>
      <c r="B84" s="517"/>
      <c r="C84" s="486">
        <v>370</v>
      </c>
      <c r="D84" s="486"/>
      <c r="E84" s="492">
        <v>370</v>
      </c>
      <c r="F84" s="486"/>
      <c r="G84" s="486">
        <v>350</v>
      </c>
      <c r="H84" s="496"/>
      <c r="I84" s="487">
        <v>345</v>
      </c>
      <c r="J84" s="496"/>
      <c r="K84" s="492">
        <v>350</v>
      </c>
      <c r="M84" s="528"/>
      <c r="O84" s="1779"/>
      <c r="P84" s="1779"/>
      <c r="Q84" s="1779"/>
      <c r="R84" s="1779"/>
      <c r="S84" s="1779"/>
      <c r="T84" s="1779"/>
      <c r="U84" s="1779"/>
      <c r="V84" s="1779"/>
      <c r="W84" s="1779"/>
    </row>
    <row r="85" spans="1:23" s="40" customFormat="1" ht="15" x14ac:dyDescent="0.2">
      <c r="A85" s="41" t="s">
        <v>904</v>
      </c>
      <c r="B85" s="39"/>
      <c r="C85" s="476">
        <v>5760</v>
      </c>
      <c r="D85" s="476"/>
      <c r="E85" s="492">
        <v>5710</v>
      </c>
      <c r="F85" s="476"/>
      <c r="G85" s="476">
        <v>6000</v>
      </c>
      <c r="I85" s="487">
        <v>5040</v>
      </c>
      <c r="K85" s="492">
        <v>3800</v>
      </c>
      <c r="M85" s="528"/>
      <c r="O85" s="544"/>
    </row>
    <row r="86" spans="1:23" s="40" customFormat="1" x14ac:dyDescent="0.2">
      <c r="A86" s="490" t="s">
        <v>909</v>
      </c>
      <c r="B86" s="39"/>
      <c r="C86" s="476"/>
      <c r="D86" s="476"/>
      <c r="E86" s="476"/>
      <c r="F86" s="476"/>
      <c r="G86" s="476"/>
      <c r="I86" s="476"/>
      <c r="M86" s="417"/>
      <c r="O86" s="1779"/>
      <c r="P86" s="1779"/>
      <c r="Q86" s="1779"/>
      <c r="R86" s="1779"/>
      <c r="S86" s="1779"/>
      <c r="T86" s="1779"/>
      <c r="U86" s="1779"/>
      <c r="V86" s="1779"/>
      <c r="W86" s="1779"/>
    </row>
    <row r="87" spans="1:23" s="40" customFormat="1" x14ac:dyDescent="0.2">
      <c r="A87" s="494" t="s">
        <v>910</v>
      </c>
      <c r="B87" s="517"/>
      <c r="C87" s="486">
        <v>1340</v>
      </c>
      <c r="D87" s="486"/>
      <c r="E87" s="492">
        <v>1200</v>
      </c>
      <c r="F87" s="486"/>
      <c r="G87" s="486">
        <v>1500</v>
      </c>
      <c r="I87" s="487">
        <v>2830</v>
      </c>
      <c r="K87" s="492">
        <v>2830</v>
      </c>
      <c r="M87" s="528"/>
      <c r="O87" s="1779"/>
      <c r="P87" s="1779"/>
      <c r="Q87" s="1779"/>
      <c r="R87" s="1779"/>
      <c r="S87" s="1779"/>
      <c r="T87" s="1779"/>
      <c r="U87" s="1779"/>
      <c r="V87" s="1779"/>
      <c r="W87" s="1779"/>
    </row>
    <row r="88" spans="1:23" s="118" customFormat="1" x14ac:dyDescent="0.2">
      <c r="A88" s="124" t="s">
        <v>911</v>
      </c>
      <c r="B88" s="117"/>
      <c r="C88" s="476">
        <v>2253</v>
      </c>
      <c r="D88" s="476"/>
      <c r="E88" s="487">
        <v>2100</v>
      </c>
      <c r="F88" s="476"/>
      <c r="G88" s="476">
        <v>2000</v>
      </c>
      <c r="I88" s="487">
        <v>1004</v>
      </c>
      <c r="K88" s="487">
        <v>1004</v>
      </c>
      <c r="M88" s="531"/>
      <c r="O88" s="537"/>
    </row>
    <row r="89" spans="1:23" s="40" customFormat="1" x14ac:dyDescent="0.2">
      <c r="A89" s="124" t="s">
        <v>912</v>
      </c>
      <c r="B89" s="117"/>
      <c r="C89" s="476">
        <v>5</v>
      </c>
      <c r="D89" s="476"/>
      <c r="E89" s="492">
        <v>5</v>
      </c>
      <c r="F89" s="476"/>
      <c r="G89" s="476">
        <v>5</v>
      </c>
      <c r="I89" s="487">
        <v>7</v>
      </c>
      <c r="K89" s="492">
        <v>7</v>
      </c>
      <c r="M89" s="528"/>
      <c r="O89" s="143"/>
    </row>
    <row r="90" spans="1:23" s="118" customFormat="1" x14ac:dyDescent="0.2">
      <c r="A90" s="124" t="s">
        <v>913</v>
      </c>
      <c r="B90" s="117"/>
      <c r="C90" s="476">
        <v>2534</v>
      </c>
      <c r="D90" s="476"/>
      <c r="E90" s="487">
        <v>110</v>
      </c>
      <c r="F90" s="476"/>
      <c r="G90" s="476">
        <v>150</v>
      </c>
      <c r="I90" s="487">
        <v>166</v>
      </c>
      <c r="K90" s="487">
        <v>166</v>
      </c>
      <c r="M90" s="531"/>
      <c r="O90" s="537"/>
    </row>
    <row r="91" spans="1:23" s="40" customFormat="1" x14ac:dyDescent="0.2">
      <c r="A91" s="490" t="s">
        <v>914</v>
      </c>
      <c r="B91" s="39"/>
      <c r="C91" s="476"/>
      <c r="D91" s="476"/>
      <c r="E91" s="492"/>
      <c r="F91" s="476"/>
      <c r="G91" s="476"/>
      <c r="I91" s="487"/>
      <c r="K91" s="492"/>
      <c r="M91" s="74"/>
      <c r="O91" s="143"/>
    </row>
    <row r="92" spans="1:23" s="40" customFormat="1" x14ac:dyDescent="0.2">
      <c r="A92" s="41" t="s">
        <v>915</v>
      </c>
      <c r="B92" s="39"/>
      <c r="C92" s="476">
        <v>24</v>
      </c>
      <c r="D92" s="476"/>
      <c r="E92" s="492">
        <v>24</v>
      </c>
      <c r="F92" s="476"/>
      <c r="G92" s="476">
        <v>24</v>
      </c>
      <c r="I92" s="487">
        <v>24</v>
      </c>
      <c r="K92" s="492">
        <v>25</v>
      </c>
      <c r="M92" s="528"/>
      <c r="O92" s="143"/>
    </row>
    <row r="93" spans="1:23" s="118" customFormat="1" x14ac:dyDescent="0.2">
      <c r="A93" s="124" t="s">
        <v>916</v>
      </c>
      <c r="B93" s="117"/>
      <c r="C93" s="476">
        <v>55</v>
      </c>
      <c r="D93" s="476"/>
      <c r="E93" s="487">
        <v>58</v>
      </c>
      <c r="F93" s="476"/>
      <c r="G93" s="476">
        <v>55</v>
      </c>
      <c r="I93" s="487">
        <v>20</v>
      </c>
      <c r="K93" s="487">
        <v>55</v>
      </c>
      <c r="M93" s="531"/>
      <c r="O93" s="537"/>
    </row>
    <row r="94" spans="1:23" s="118" customFormat="1" x14ac:dyDescent="0.2">
      <c r="A94" s="124" t="s">
        <v>917</v>
      </c>
      <c r="B94" s="117"/>
      <c r="C94" s="476">
        <v>51</v>
      </c>
      <c r="D94" s="476"/>
      <c r="E94" s="487">
        <v>55</v>
      </c>
      <c r="F94" s="476"/>
      <c r="G94" s="476">
        <v>55</v>
      </c>
      <c r="I94" s="487">
        <v>30</v>
      </c>
      <c r="K94" s="487">
        <v>30</v>
      </c>
      <c r="M94" s="531"/>
      <c r="O94" s="537"/>
    </row>
    <row r="95" spans="1:23" s="40" customFormat="1" x14ac:dyDescent="0.2">
      <c r="A95" s="41" t="s">
        <v>918</v>
      </c>
      <c r="B95" s="39"/>
      <c r="C95" s="476">
        <v>21</v>
      </c>
      <c r="D95" s="476"/>
      <c r="E95" s="492">
        <v>21</v>
      </c>
      <c r="F95" s="476"/>
      <c r="G95" s="476">
        <v>21</v>
      </c>
      <c r="I95" s="487">
        <v>21</v>
      </c>
      <c r="K95" s="492">
        <v>21</v>
      </c>
      <c r="M95" s="528"/>
      <c r="O95" s="143"/>
    </row>
    <row r="96" spans="1:23" s="40" customFormat="1" x14ac:dyDescent="0.2">
      <c r="A96" s="41" t="s">
        <v>904</v>
      </c>
      <c r="B96" s="39"/>
      <c r="C96" s="476">
        <v>4250</v>
      </c>
      <c r="D96" s="476"/>
      <c r="E96" s="492">
        <v>4300</v>
      </c>
      <c r="F96" s="476"/>
      <c r="G96" s="476">
        <v>4300</v>
      </c>
      <c r="I96" s="487">
        <v>4300</v>
      </c>
      <c r="K96" s="492">
        <v>4300</v>
      </c>
      <c r="M96" s="528"/>
      <c r="O96" s="143"/>
    </row>
    <row r="97" spans="1:23" s="40" customFormat="1" x14ac:dyDescent="0.2">
      <c r="A97" s="41" t="s">
        <v>919</v>
      </c>
      <c r="B97" s="39"/>
      <c r="C97" s="476">
        <v>2</v>
      </c>
      <c r="D97" s="476"/>
      <c r="E97" s="476">
        <v>2</v>
      </c>
      <c r="F97" s="476"/>
      <c r="G97" s="476">
        <v>2</v>
      </c>
      <c r="I97" s="487">
        <v>2</v>
      </c>
      <c r="K97" s="492">
        <v>2</v>
      </c>
      <c r="M97" s="528"/>
      <c r="O97" s="143"/>
    </row>
    <row r="98" spans="1:23" s="40" customFormat="1" x14ac:dyDescent="0.2">
      <c r="A98" s="41" t="s">
        <v>920</v>
      </c>
      <c r="B98" s="39"/>
      <c r="C98" s="476">
        <v>35</v>
      </c>
      <c r="D98" s="476"/>
      <c r="E98" s="476">
        <v>35</v>
      </c>
      <c r="F98" s="476"/>
      <c r="G98" s="476">
        <v>35</v>
      </c>
      <c r="I98" s="487">
        <v>35</v>
      </c>
      <c r="K98" s="492">
        <v>35</v>
      </c>
      <c r="M98" s="78"/>
      <c r="O98" s="143"/>
    </row>
    <row r="99" spans="1:23" s="37" customFormat="1" x14ac:dyDescent="0.2">
      <c r="A99" s="411" t="s">
        <v>921</v>
      </c>
      <c r="B99" s="36"/>
      <c r="C99" s="476"/>
      <c r="D99" s="476"/>
      <c r="E99" s="476"/>
      <c r="F99" s="481"/>
      <c r="G99" s="481"/>
      <c r="I99" s="481"/>
    </row>
    <row r="100" spans="1:23" s="40" customFormat="1" x14ac:dyDescent="0.2">
      <c r="A100" s="490" t="s">
        <v>922</v>
      </c>
      <c r="B100" s="39"/>
      <c r="C100" s="476"/>
      <c r="D100" s="476"/>
      <c r="E100" s="476"/>
      <c r="F100" s="478"/>
      <c r="G100" s="478"/>
      <c r="I100" s="478"/>
    </row>
    <row r="101" spans="1:23" s="118" customFormat="1" x14ac:dyDescent="0.2">
      <c r="A101" s="501" t="s">
        <v>923</v>
      </c>
      <c r="B101" s="529"/>
      <c r="C101" s="486">
        <f>7312+27368+13536</f>
        <v>48216</v>
      </c>
      <c r="D101" s="486"/>
      <c r="E101" s="487">
        <v>46486</v>
      </c>
      <c r="F101" s="486"/>
      <c r="G101" s="486">
        <v>50000</v>
      </c>
      <c r="I101" s="487">
        <v>45000</v>
      </c>
      <c r="K101" s="530">
        <v>45000</v>
      </c>
      <c r="M101" s="531"/>
      <c r="O101" s="1780"/>
      <c r="P101" s="1780"/>
      <c r="Q101" s="1780"/>
      <c r="R101" s="1780"/>
      <c r="S101" s="1780"/>
      <c r="T101" s="1780"/>
      <c r="U101" s="1780"/>
      <c r="V101" s="1780"/>
      <c r="W101" s="1780"/>
    </row>
    <row r="102" spans="1:23" s="118" customFormat="1" x14ac:dyDescent="0.2">
      <c r="A102" s="501" t="s">
        <v>924</v>
      </c>
      <c r="B102" s="529"/>
      <c r="C102" s="486">
        <f>1999+111</f>
        <v>2110</v>
      </c>
      <c r="D102" s="486"/>
      <c r="E102" s="487">
        <v>0</v>
      </c>
      <c r="F102" s="486"/>
      <c r="G102" s="486">
        <v>0</v>
      </c>
      <c r="I102" s="487">
        <v>0</v>
      </c>
      <c r="K102" s="530">
        <v>0</v>
      </c>
      <c r="M102" s="159"/>
      <c r="O102" s="1778"/>
      <c r="P102" s="1778"/>
      <c r="Q102" s="1778"/>
      <c r="R102" s="1778"/>
      <c r="S102" s="1778"/>
      <c r="T102" s="1778"/>
      <c r="U102" s="1778"/>
      <c r="V102" s="1778"/>
      <c r="W102" s="1778"/>
    </row>
    <row r="103" spans="1:23" s="118" customFormat="1" x14ac:dyDescent="0.2">
      <c r="A103" s="501" t="s">
        <v>925</v>
      </c>
      <c r="B103" s="529"/>
      <c r="C103" s="486">
        <v>16376</v>
      </c>
      <c r="D103" s="486"/>
      <c r="E103" s="487">
        <v>23906</v>
      </c>
      <c r="F103" s="486"/>
      <c r="G103" s="486">
        <v>34000</v>
      </c>
      <c r="I103" s="487">
        <v>17000</v>
      </c>
      <c r="K103" s="530">
        <v>17000</v>
      </c>
      <c r="M103" s="159"/>
      <c r="O103" s="1778"/>
      <c r="P103" s="1778"/>
      <c r="Q103" s="1778"/>
      <c r="R103" s="1778"/>
      <c r="S103" s="1778"/>
      <c r="T103" s="1778"/>
      <c r="U103" s="1778"/>
      <c r="V103" s="1778"/>
      <c r="W103" s="1778"/>
    </row>
    <row r="104" spans="1:23" s="118" customFormat="1" x14ac:dyDescent="0.2">
      <c r="A104" s="501" t="s">
        <v>926</v>
      </c>
      <c r="B104" s="529"/>
      <c r="C104" s="486">
        <v>118209</v>
      </c>
      <c r="D104" s="486"/>
      <c r="E104" s="487">
        <v>116398</v>
      </c>
      <c r="F104" s="486"/>
      <c r="G104" s="486">
        <v>118000</v>
      </c>
      <c r="I104" s="487">
        <v>116000</v>
      </c>
      <c r="K104" s="530">
        <v>116000</v>
      </c>
      <c r="M104" s="159"/>
      <c r="O104" s="1772"/>
      <c r="P104" s="1772"/>
      <c r="Q104" s="1772"/>
      <c r="R104" s="1772"/>
      <c r="S104" s="1772"/>
      <c r="T104" s="1772"/>
      <c r="U104" s="1772"/>
      <c r="V104" s="1772"/>
      <c r="W104" s="1772"/>
    </row>
    <row r="105" spans="1:23" s="40" customFormat="1" x14ac:dyDescent="0.2">
      <c r="A105" s="490" t="s">
        <v>927</v>
      </c>
      <c r="B105" s="39"/>
      <c r="C105" s="476"/>
      <c r="D105" s="476"/>
      <c r="E105" s="487"/>
      <c r="F105" s="476"/>
      <c r="G105" s="476"/>
      <c r="I105" s="487"/>
      <c r="K105" s="493"/>
      <c r="M105" s="78"/>
    </row>
    <row r="106" spans="1:23" s="118" customFormat="1" ht="25.5" x14ac:dyDescent="0.2">
      <c r="A106" s="545" t="s">
        <v>928</v>
      </c>
      <c r="B106" s="529"/>
      <c r="C106" s="486">
        <v>6442</v>
      </c>
      <c r="D106" s="486"/>
      <c r="E106" s="487">
        <v>7918</v>
      </c>
      <c r="F106" s="486"/>
      <c r="G106" s="486">
        <v>8000</v>
      </c>
      <c r="I106" s="487">
        <v>7000</v>
      </c>
      <c r="K106" s="530">
        <v>7000</v>
      </c>
      <c r="M106" s="159"/>
      <c r="O106" s="1781"/>
      <c r="P106" s="1781"/>
      <c r="Q106" s="1781"/>
      <c r="R106" s="1781"/>
      <c r="S106" s="1781"/>
      <c r="T106" s="1781"/>
      <c r="U106" s="1781"/>
      <c r="V106" s="1781"/>
      <c r="W106" s="1781"/>
    </row>
    <row r="107" spans="1:23" s="40" customFormat="1" x14ac:dyDescent="0.2">
      <c r="A107" s="490" t="s">
        <v>929</v>
      </c>
      <c r="B107" s="39"/>
      <c r="C107" s="476"/>
      <c r="D107" s="476"/>
      <c r="E107" s="487"/>
      <c r="F107" s="476"/>
      <c r="G107" s="476"/>
      <c r="I107" s="487"/>
      <c r="M107" s="78"/>
    </row>
    <row r="108" spans="1:23" s="40" customFormat="1" x14ac:dyDescent="0.2">
      <c r="A108" s="41" t="s">
        <v>930</v>
      </c>
      <c r="B108" s="39"/>
      <c r="C108" s="476">
        <v>1489</v>
      </c>
      <c r="D108" s="476"/>
      <c r="E108" s="487">
        <v>1412</v>
      </c>
      <c r="F108" s="476"/>
      <c r="G108" s="476">
        <v>1400</v>
      </c>
      <c r="I108" s="487">
        <v>750</v>
      </c>
      <c r="K108" s="493">
        <v>750</v>
      </c>
      <c r="M108" s="528"/>
    </row>
    <row r="109" spans="1:23" s="40" customFormat="1" x14ac:dyDescent="0.2">
      <c r="A109" s="41" t="s">
        <v>931</v>
      </c>
      <c r="B109" s="39"/>
      <c r="C109" s="476">
        <v>3036</v>
      </c>
      <c r="D109" s="476"/>
      <c r="E109" s="487">
        <v>2873</v>
      </c>
      <c r="F109" s="476"/>
      <c r="G109" s="476">
        <v>3000</v>
      </c>
      <c r="I109" s="487">
        <v>2800</v>
      </c>
      <c r="K109" s="493">
        <v>2800</v>
      </c>
      <c r="M109" s="78"/>
    </row>
    <row r="110" spans="1:23" s="40" customFormat="1" x14ac:dyDescent="0.2">
      <c r="A110" s="494" t="s">
        <v>932</v>
      </c>
      <c r="B110" s="517"/>
      <c r="C110" s="486">
        <v>278</v>
      </c>
      <c r="D110" s="486"/>
      <c r="E110" s="487">
        <v>288</v>
      </c>
      <c r="F110" s="486"/>
      <c r="G110" s="486">
        <v>359</v>
      </c>
      <c r="I110" s="487">
        <v>285</v>
      </c>
      <c r="K110" s="493">
        <v>285</v>
      </c>
      <c r="M110" s="78"/>
      <c r="O110" s="1776"/>
      <c r="P110" s="1776"/>
      <c r="Q110" s="1776"/>
      <c r="R110" s="1776"/>
      <c r="S110" s="1776"/>
      <c r="T110" s="1776"/>
      <c r="U110" s="1776"/>
      <c r="V110" s="1776"/>
      <c r="W110" s="1776"/>
    </row>
    <row r="111" spans="1:23" s="40" customFormat="1" x14ac:dyDescent="0.2">
      <c r="A111" s="41" t="s">
        <v>933</v>
      </c>
      <c r="B111" s="39"/>
      <c r="C111" s="486">
        <v>55</v>
      </c>
      <c r="D111" s="486"/>
      <c r="E111" s="487">
        <v>65</v>
      </c>
      <c r="F111" s="486"/>
      <c r="G111" s="486">
        <f>6*12</f>
        <v>72</v>
      </c>
      <c r="I111" s="487">
        <v>72</v>
      </c>
      <c r="K111" s="493">
        <v>72</v>
      </c>
      <c r="M111" s="528"/>
      <c r="O111" s="1776"/>
      <c r="P111" s="1776"/>
      <c r="Q111" s="1776"/>
      <c r="R111" s="1776"/>
      <c r="S111" s="1776"/>
      <c r="T111" s="1776"/>
      <c r="U111" s="1776"/>
      <c r="V111" s="1776"/>
      <c r="W111" s="1776"/>
    </row>
    <row r="112" spans="1:23" s="37" customFormat="1" x14ac:dyDescent="0.2">
      <c r="A112" s="411" t="s">
        <v>934</v>
      </c>
      <c r="B112" s="36"/>
      <c r="C112" s="476"/>
      <c r="D112" s="476"/>
      <c r="E112" s="546"/>
      <c r="F112" s="481"/>
      <c r="G112" s="481"/>
      <c r="I112" s="547"/>
      <c r="K112" s="482"/>
      <c r="M112" s="73"/>
    </row>
    <row r="113" spans="1:23" s="118" customFormat="1" ht="15" x14ac:dyDescent="0.25">
      <c r="A113" s="124" t="s">
        <v>935</v>
      </c>
      <c r="B113" s="480"/>
      <c r="C113" s="476">
        <v>81000</v>
      </c>
      <c r="D113" s="476"/>
      <c r="E113" s="487">
        <v>82000</v>
      </c>
      <c r="F113" s="476"/>
      <c r="G113" s="476">
        <v>82000</v>
      </c>
      <c r="I113" s="487">
        <v>81000</v>
      </c>
      <c r="K113" s="487">
        <v>81000</v>
      </c>
      <c r="M113" s="531"/>
      <c r="O113" s="548"/>
    </row>
    <row r="114" spans="1:23" s="40" customFormat="1" x14ac:dyDescent="0.2">
      <c r="A114" s="41" t="s">
        <v>936</v>
      </c>
      <c r="B114" s="39"/>
      <c r="C114" s="476">
        <v>650</v>
      </c>
      <c r="D114" s="476"/>
      <c r="E114" s="487">
        <v>650</v>
      </c>
      <c r="F114" s="476"/>
      <c r="G114" s="476">
        <v>650</v>
      </c>
      <c r="I114" s="487">
        <v>715</v>
      </c>
      <c r="K114" s="487">
        <v>730</v>
      </c>
      <c r="M114" s="528"/>
    </row>
    <row r="115" spans="1:23" s="40" customFormat="1" x14ac:dyDescent="0.2">
      <c r="A115" s="494" t="s">
        <v>937</v>
      </c>
      <c r="B115" s="517"/>
      <c r="C115" s="486">
        <v>1495</v>
      </c>
      <c r="D115" s="486"/>
      <c r="E115" s="487">
        <v>1766</v>
      </c>
      <c r="F115" s="486"/>
      <c r="G115" s="486">
        <v>2000</v>
      </c>
      <c r="I115" s="487">
        <v>1600</v>
      </c>
      <c r="K115" s="487">
        <v>1600</v>
      </c>
      <c r="M115" s="528"/>
      <c r="O115" s="1776"/>
      <c r="P115" s="1776"/>
      <c r="Q115" s="1776"/>
      <c r="R115" s="1776"/>
      <c r="S115" s="1776"/>
      <c r="T115" s="1776"/>
      <c r="U115" s="1776"/>
      <c r="V115" s="1776"/>
      <c r="W115" s="1776"/>
    </row>
    <row r="116" spans="1:23" s="40" customFormat="1" x14ac:dyDescent="0.2">
      <c r="A116" s="124" t="s">
        <v>938</v>
      </c>
      <c r="B116" s="117"/>
      <c r="C116" s="476">
        <v>39449</v>
      </c>
      <c r="D116" s="476"/>
      <c r="E116" s="487">
        <v>39963</v>
      </c>
      <c r="F116" s="476"/>
      <c r="G116" s="476">
        <v>38931</v>
      </c>
      <c r="I116" s="487">
        <v>39343</v>
      </c>
      <c r="K116" s="487">
        <v>39799</v>
      </c>
      <c r="M116" s="528"/>
    </row>
    <row r="117" spans="1:23" s="40" customFormat="1" x14ac:dyDescent="0.2">
      <c r="A117" s="41" t="s">
        <v>939</v>
      </c>
      <c r="B117" s="39"/>
      <c r="C117" s="476">
        <v>5037</v>
      </c>
      <c r="D117" s="476"/>
      <c r="E117" s="487">
        <v>5037</v>
      </c>
      <c r="F117" s="476"/>
      <c r="G117" s="476">
        <v>5037</v>
      </c>
      <c r="I117" s="487">
        <v>5100</v>
      </c>
      <c r="K117" s="487">
        <v>5100</v>
      </c>
      <c r="M117" s="78"/>
      <c r="O117" s="1777"/>
      <c r="P117" s="1777"/>
      <c r="Q117" s="1777"/>
      <c r="R117" s="1777"/>
      <c r="S117" s="1777"/>
      <c r="T117" s="1777"/>
      <c r="U117" s="1777"/>
      <c r="V117" s="1777"/>
      <c r="W117" s="1777"/>
    </row>
    <row r="118" spans="1:23" s="40" customFormat="1" x14ac:dyDescent="0.2">
      <c r="A118" s="490"/>
      <c r="B118" s="39"/>
      <c r="C118" s="478"/>
      <c r="D118" s="478"/>
      <c r="E118" s="478"/>
      <c r="F118" s="478"/>
      <c r="G118" s="478"/>
      <c r="I118" s="478"/>
    </row>
    <row r="119" spans="1:23" s="37" customFormat="1" x14ac:dyDescent="0.2">
      <c r="A119" s="411" t="s">
        <v>194</v>
      </c>
      <c r="B119" s="36"/>
      <c r="C119" s="481"/>
      <c r="D119" s="481"/>
      <c r="E119" s="481"/>
      <c r="F119" s="481"/>
      <c r="G119" s="481"/>
      <c r="I119" s="481"/>
    </row>
    <row r="120" spans="1:23" s="37" customFormat="1" x14ac:dyDescent="0.2">
      <c r="A120" s="411" t="s">
        <v>195</v>
      </c>
      <c r="B120" s="36"/>
      <c r="C120" s="478"/>
      <c r="D120" s="481"/>
      <c r="E120" s="481"/>
      <c r="F120" s="481"/>
      <c r="G120" s="481"/>
      <c r="I120" s="481"/>
    </row>
    <row r="121" spans="1:23" s="40" customFormat="1" x14ac:dyDescent="0.2">
      <c r="A121" s="490" t="s">
        <v>196</v>
      </c>
      <c r="B121" s="39"/>
      <c r="C121" s="478"/>
      <c r="D121" s="478"/>
      <c r="E121" s="478"/>
      <c r="F121" s="478"/>
      <c r="G121" s="478"/>
      <c r="I121" s="478"/>
    </row>
    <row r="122" spans="1:23" s="40" customFormat="1" x14ac:dyDescent="0.2">
      <c r="A122" s="41" t="s">
        <v>197</v>
      </c>
      <c r="B122" s="39"/>
      <c r="C122" s="478">
        <v>187</v>
      </c>
      <c r="D122" s="478"/>
      <c r="E122" s="478">
        <v>190</v>
      </c>
      <c r="F122" s="478"/>
      <c r="G122" s="478">
        <v>189</v>
      </c>
      <c r="I122" s="478">
        <v>193</v>
      </c>
      <c r="K122" s="42">
        <v>193</v>
      </c>
      <c r="M122" s="528"/>
    </row>
    <row r="123" spans="1:23" s="40" customFormat="1" x14ac:dyDescent="0.2">
      <c r="A123" s="41" t="s">
        <v>261</v>
      </c>
      <c r="B123" s="39"/>
      <c r="C123" s="478">
        <v>333</v>
      </c>
      <c r="D123" s="478"/>
      <c r="E123" s="478">
        <v>329</v>
      </c>
      <c r="F123" s="478"/>
      <c r="G123" s="478">
        <v>325</v>
      </c>
      <c r="I123" s="478">
        <v>334</v>
      </c>
      <c r="K123" s="42">
        <v>337</v>
      </c>
      <c r="M123" s="528"/>
    </row>
    <row r="124" spans="1:23" s="40" customFormat="1" x14ac:dyDescent="0.2">
      <c r="A124" s="41" t="s">
        <v>262</v>
      </c>
      <c r="B124" s="39"/>
      <c r="C124" s="478">
        <v>104</v>
      </c>
      <c r="D124" s="478"/>
      <c r="E124" s="478">
        <v>97</v>
      </c>
      <c r="F124" s="478"/>
      <c r="G124" s="478">
        <v>95</v>
      </c>
      <c r="I124" s="478">
        <v>87</v>
      </c>
      <c r="K124" s="42">
        <v>87</v>
      </c>
      <c r="M124" s="528"/>
    </row>
    <row r="125" spans="1:23" s="40" customFormat="1" x14ac:dyDescent="0.2">
      <c r="A125" s="41" t="s">
        <v>198</v>
      </c>
      <c r="B125" s="39"/>
      <c r="C125" s="478">
        <f>SUM(C122:C124)</f>
        <v>624</v>
      </c>
      <c r="D125" s="478" t="s">
        <v>352</v>
      </c>
      <c r="E125" s="478">
        <f>SUM(E122:E124)</f>
        <v>616</v>
      </c>
      <c r="F125" s="478" t="s">
        <v>352</v>
      </c>
      <c r="G125" s="478">
        <f>SUM(G122:G124)</f>
        <v>609</v>
      </c>
      <c r="I125" s="478">
        <f>SUM(I122:I124)</f>
        <v>614</v>
      </c>
      <c r="K125" s="42">
        <f>SUM(K122:K124)</f>
        <v>617</v>
      </c>
      <c r="M125" s="528"/>
    </row>
    <row r="126" spans="1:23" s="40" customFormat="1" x14ac:dyDescent="0.2">
      <c r="A126" s="490" t="s">
        <v>199</v>
      </c>
      <c r="B126" s="39"/>
      <c r="C126" s="478"/>
      <c r="D126" s="478"/>
      <c r="E126" s="478"/>
      <c r="F126" s="478"/>
      <c r="G126" s="478"/>
      <c r="I126" s="478"/>
      <c r="M126" s="74"/>
    </row>
    <row r="127" spans="1:23" s="40" customFormat="1" x14ac:dyDescent="0.2">
      <c r="A127" s="41" t="s">
        <v>835</v>
      </c>
      <c r="B127" s="39"/>
      <c r="C127" s="478">
        <v>36</v>
      </c>
      <c r="D127" s="478"/>
      <c r="E127" s="478">
        <v>35</v>
      </c>
      <c r="F127" s="478"/>
      <c r="G127" s="478">
        <v>30</v>
      </c>
      <c r="I127" s="478">
        <v>37</v>
      </c>
      <c r="K127" s="42">
        <v>37</v>
      </c>
      <c r="M127" s="528"/>
    </row>
    <row r="128" spans="1:23" s="40" customFormat="1" x14ac:dyDescent="0.2">
      <c r="A128" s="41" t="s">
        <v>838</v>
      </c>
      <c r="B128" s="39"/>
      <c r="C128" s="478">
        <v>148</v>
      </c>
      <c r="D128" s="478"/>
      <c r="E128" s="478">
        <v>149</v>
      </c>
      <c r="F128" s="478"/>
      <c r="G128" s="478">
        <v>150</v>
      </c>
      <c r="I128" s="478">
        <v>139</v>
      </c>
      <c r="K128" s="42">
        <v>141</v>
      </c>
      <c r="M128" s="528"/>
    </row>
    <row r="129" spans="1:17" s="40" customFormat="1" x14ac:dyDescent="0.2">
      <c r="A129" s="41" t="s">
        <v>862</v>
      </c>
      <c r="B129" s="39"/>
      <c r="C129" s="478">
        <v>293</v>
      </c>
      <c r="D129" s="478"/>
      <c r="E129" s="478">
        <v>281</v>
      </c>
      <c r="F129" s="478"/>
      <c r="G129" s="478">
        <v>277</v>
      </c>
      <c r="I129" s="478">
        <v>288</v>
      </c>
      <c r="K129" s="42">
        <v>288</v>
      </c>
      <c r="M129" s="528"/>
    </row>
    <row r="130" spans="1:17" s="40" customFormat="1" x14ac:dyDescent="0.2">
      <c r="A130" s="41" t="s">
        <v>921</v>
      </c>
      <c r="B130" s="39"/>
      <c r="C130" s="478">
        <v>77</v>
      </c>
      <c r="D130" s="478"/>
      <c r="E130" s="478">
        <v>75</v>
      </c>
      <c r="F130" s="478"/>
      <c r="G130" s="478">
        <v>80</v>
      </c>
      <c r="I130" s="478">
        <v>70</v>
      </c>
      <c r="K130" s="42">
        <v>71</v>
      </c>
      <c r="M130" s="528"/>
    </row>
    <row r="131" spans="1:17" s="40" customFormat="1" x14ac:dyDescent="0.2">
      <c r="A131" s="41" t="s">
        <v>934</v>
      </c>
      <c r="B131" s="39"/>
      <c r="C131" s="478">
        <v>70</v>
      </c>
      <c r="D131" s="478"/>
      <c r="E131" s="478">
        <v>76</v>
      </c>
      <c r="F131" s="478"/>
      <c r="G131" s="478">
        <v>72</v>
      </c>
      <c r="I131" s="478">
        <v>80</v>
      </c>
      <c r="K131" s="42">
        <v>80</v>
      </c>
      <c r="M131" s="528"/>
    </row>
    <row r="132" spans="1:17" s="40" customFormat="1" x14ac:dyDescent="0.2">
      <c r="A132" s="41" t="s">
        <v>198</v>
      </c>
      <c r="B132" s="39"/>
      <c r="C132" s="478">
        <f>C127+C128+C129+C130+C131</f>
        <v>624</v>
      </c>
      <c r="D132" s="478"/>
      <c r="E132" s="478">
        <f>SUM(E127:E131)</f>
        <v>616</v>
      </c>
      <c r="F132" s="478"/>
      <c r="G132" s="478">
        <f>SUM(G127:G131)</f>
        <v>609</v>
      </c>
      <c r="I132" s="478">
        <f>SUM(I127:I131)</f>
        <v>614</v>
      </c>
      <c r="K132" s="42">
        <f>SUM(K127:K131)</f>
        <v>617</v>
      </c>
      <c r="M132" s="528"/>
    </row>
    <row r="133" spans="1:17" s="37" customFormat="1" x14ac:dyDescent="0.2">
      <c r="A133" s="35"/>
      <c r="B133" s="36"/>
    </row>
    <row r="134" spans="1:17" s="48" customFormat="1" x14ac:dyDescent="0.2">
      <c r="A134" s="46"/>
      <c r="B134" s="47"/>
    </row>
    <row r="135" spans="1:17" s="48" customFormat="1" x14ac:dyDescent="0.2">
      <c r="A135" s="49" t="s">
        <v>200</v>
      </c>
      <c r="B135" s="50"/>
      <c r="C135" s="51"/>
      <c r="D135" s="52"/>
      <c r="E135" s="53"/>
      <c r="F135" s="52"/>
      <c r="G135" s="53"/>
      <c r="H135" s="52"/>
      <c r="I135" s="53"/>
      <c r="J135" s="52"/>
      <c r="K135" s="53"/>
      <c r="L135" s="52"/>
      <c r="M135" s="51"/>
      <c r="N135" s="52"/>
    </row>
    <row r="136" spans="1:17" ht="33" customHeight="1" x14ac:dyDescent="0.2">
      <c r="A136" s="1738" t="s">
        <v>524</v>
      </c>
      <c r="B136" s="1736"/>
      <c r="C136" s="1737"/>
      <c r="D136" s="1736"/>
      <c r="E136" s="1737"/>
      <c r="F136" s="1736"/>
      <c r="G136" s="1737"/>
      <c r="H136" s="1736"/>
      <c r="I136" s="1737"/>
      <c r="J136" s="1736"/>
      <c r="K136" s="1737"/>
      <c r="L136" s="1736"/>
      <c r="M136" s="1737"/>
      <c r="N136" s="1736"/>
      <c r="O136" s="54"/>
      <c r="P136" s="54"/>
      <c r="Q136" s="951"/>
    </row>
    <row r="137" spans="1:17" ht="20.25" customHeight="1" x14ac:dyDescent="0.2">
      <c r="A137" s="1738" t="s">
        <v>940</v>
      </c>
      <c r="B137" s="1736"/>
      <c r="C137" s="1737"/>
      <c r="D137" s="1736"/>
      <c r="E137" s="1737"/>
      <c r="F137" s="1736"/>
      <c r="G137" s="1737"/>
      <c r="H137" s="1736"/>
      <c r="I137" s="1737"/>
      <c r="J137" s="1736"/>
      <c r="K137" s="1737"/>
      <c r="L137" s="1736"/>
      <c r="M137" s="1737"/>
      <c r="N137" s="1736"/>
      <c r="O137" s="54"/>
      <c r="P137" s="54"/>
      <c r="Q137" s="951"/>
    </row>
    <row r="138" spans="1:17" ht="19.5" customHeight="1" x14ac:dyDescent="0.2">
      <c r="A138" s="1738" t="s">
        <v>941</v>
      </c>
      <c r="B138" s="1736"/>
      <c r="C138" s="1737"/>
      <c r="D138" s="1736"/>
      <c r="E138" s="1737"/>
      <c r="F138" s="1736"/>
      <c r="G138" s="1737"/>
      <c r="H138" s="1736"/>
      <c r="I138" s="1737"/>
      <c r="J138" s="1736"/>
      <c r="K138" s="1737"/>
      <c r="L138" s="1736"/>
      <c r="M138" s="1737"/>
      <c r="N138" s="1736"/>
      <c r="O138" s="54"/>
      <c r="P138" s="54"/>
    </row>
    <row r="139" spans="1:17" ht="27.75" customHeight="1" x14ac:dyDescent="0.2">
      <c r="A139" s="1735"/>
      <c r="B139" s="1736"/>
      <c r="C139" s="1737"/>
      <c r="D139" s="1736"/>
      <c r="E139" s="1737"/>
      <c r="F139" s="1736"/>
      <c r="G139" s="1737"/>
      <c r="H139" s="1736"/>
      <c r="I139" s="1737"/>
      <c r="J139" s="1736"/>
      <c r="K139" s="1737"/>
      <c r="L139" s="1736"/>
      <c r="M139" s="1737"/>
      <c r="N139" s="1736"/>
      <c r="O139" s="54"/>
      <c r="P139" s="54"/>
    </row>
    <row r="140" spans="1:17" ht="27.75" customHeight="1" x14ac:dyDescent="0.2">
      <c r="A140" s="1735"/>
      <c r="B140" s="1736"/>
      <c r="C140" s="1737"/>
      <c r="D140" s="1736"/>
      <c r="E140" s="1737"/>
      <c r="F140" s="1736"/>
      <c r="G140" s="1737"/>
      <c r="H140" s="1736"/>
      <c r="I140" s="1737"/>
      <c r="J140" s="1736"/>
      <c r="K140" s="1737"/>
      <c r="L140" s="1736"/>
      <c r="M140" s="1737"/>
      <c r="N140" s="1736"/>
      <c r="O140" s="54"/>
      <c r="P140" s="54"/>
    </row>
    <row r="141" spans="1:17" ht="27.75" customHeight="1" x14ac:dyDescent="0.2">
      <c r="A141" s="1735"/>
      <c r="B141" s="1736"/>
      <c r="C141" s="1737"/>
      <c r="D141" s="1736"/>
      <c r="E141" s="1737"/>
      <c r="F141" s="1736"/>
      <c r="G141" s="1737"/>
      <c r="H141" s="1736"/>
      <c r="I141" s="1737"/>
      <c r="J141" s="1736"/>
      <c r="K141" s="1737"/>
      <c r="L141" s="1736"/>
      <c r="M141" s="1737"/>
      <c r="N141" s="1736"/>
      <c r="O141" s="54"/>
      <c r="P141" s="54"/>
    </row>
    <row r="142" spans="1:17" ht="27.75" customHeight="1" x14ac:dyDescent="0.2">
      <c r="A142" s="1735"/>
      <c r="B142" s="1736"/>
      <c r="C142" s="1737"/>
      <c r="D142" s="1736"/>
      <c r="E142" s="1737"/>
      <c r="F142" s="1736"/>
      <c r="G142" s="1737"/>
      <c r="H142" s="1736"/>
      <c r="I142" s="1737"/>
      <c r="J142" s="1736"/>
      <c r="K142" s="1737"/>
      <c r="L142" s="1736"/>
      <c r="M142" s="1737"/>
      <c r="N142" s="1736"/>
      <c r="O142" s="54"/>
      <c r="P142" s="54"/>
    </row>
    <row r="143" spans="1:17" x14ac:dyDescent="0.2">
      <c r="A143" s="55"/>
      <c r="B143" s="54"/>
      <c r="C143" s="56"/>
      <c r="D143" s="54"/>
      <c r="E143" s="56"/>
      <c r="F143" s="54"/>
      <c r="G143" s="56"/>
      <c r="H143" s="54"/>
      <c r="I143" s="56"/>
      <c r="J143" s="54"/>
      <c r="K143" s="56"/>
      <c r="L143" s="54"/>
      <c r="M143" s="56"/>
      <c r="N143" s="54"/>
      <c r="O143" s="54"/>
      <c r="P143" s="54"/>
    </row>
    <row r="144" spans="1:17" x14ac:dyDescent="0.2">
      <c r="A144" s="55"/>
      <c r="B144" s="54"/>
      <c r="C144" s="54"/>
      <c r="D144" s="54"/>
      <c r="E144" s="54"/>
      <c r="F144" s="54"/>
      <c r="G144" s="54"/>
      <c r="H144" s="54"/>
      <c r="I144" s="54"/>
      <c r="J144" s="54"/>
      <c r="K144" s="54"/>
      <c r="L144" s="54"/>
      <c r="M144" s="54"/>
      <c r="N144" s="54"/>
      <c r="O144" s="54"/>
      <c r="P144" s="54"/>
    </row>
    <row r="145" spans="1:17" x14ac:dyDescent="0.2">
      <c r="A145" s="55"/>
      <c r="B145" s="54"/>
      <c r="C145" s="56"/>
      <c r="D145" s="54"/>
      <c r="E145" s="56"/>
      <c r="F145" s="54"/>
      <c r="G145" s="56"/>
      <c r="H145" s="54"/>
      <c r="I145" s="56"/>
      <c r="J145" s="54"/>
      <c r="K145" s="56"/>
      <c r="L145" s="54"/>
      <c r="M145" s="56"/>
      <c r="N145" s="54"/>
      <c r="O145" s="54"/>
      <c r="P145" s="54"/>
    </row>
    <row r="146" spans="1:17" x14ac:dyDescent="0.2">
      <c r="A146" s="55"/>
      <c r="B146" s="54"/>
      <c r="C146" s="54"/>
      <c r="D146" s="54"/>
      <c r="E146" s="54"/>
      <c r="F146" s="54"/>
      <c r="G146" s="54"/>
      <c r="H146" s="54"/>
      <c r="I146" s="54"/>
      <c r="J146" s="54"/>
      <c r="K146" s="54"/>
      <c r="L146" s="54"/>
      <c r="M146" s="54"/>
      <c r="N146" s="54"/>
      <c r="O146" s="54"/>
      <c r="P146" s="54"/>
    </row>
    <row r="147" spans="1:17" x14ac:dyDescent="0.2">
      <c r="A147" s="55"/>
      <c r="B147" s="54"/>
      <c r="C147" s="56"/>
      <c r="D147" s="54"/>
      <c r="E147" s="56"/>
      <c r="F147" s="54"/>
      <c r="G147" s="56"/>
      <c r="H147" s="54"/>
      <c r="I147" s="56"/>
      <c r="J147" s="54"/>
      <c r="K147" s="56"/>
      <c r="L147" s="54"/>
      <c r="M147" s="56"/>
      <c r="N147" s="54"/>
      <c r="O147" s="54"/>
      <c r="P147" s="54"/>
    </row>
    <row r="148" spans="1:17" x14ac:dyDescent="0.2">
      <c r="A148" s="55"/>
      <c r="B148" s="54"/>
      <c r="C148" s="54"/>
      <c r="D148" s="54"/>
      <c r="E148" s="54"/>
      <c r="F148" s="54"/>
      <c r="G148" s="54"/>
      <c r="H148" s="54"/>
      <c r="I148" s="54"/>
      <c r="J148" s="54"/>
      <c r="K148" s="54"/>
      <c r="L148" s="54"/>
      <c r="M148" s="54"/>
      <c r="N148" s="54"/>
      <c r="O148" s="54"/>
      <c r="P148" s="54"/>
    </row>
    <row r="149" spans="1:17" x14ac:dyDescent="0.2">
      <c r="A149" s="55"/>
      <c r="B149" s="54"/>
      <c r="C149" s="54"/>
      <c r="D149" s="54"/>
      <c r="E149" s="54"/>
      <c r="F149" s="54"/>
      <c r="G149" s="54"/>
      <c r="H149" s="54"/>
      <c r="I149" s="54"/>
      <c r="J149" s="54"/>
      <c r="K149" s="54"/>
      <c r="L149" s="54"/>
      <c r="M149" s="54"/>
      <c r="N149" s="54"/>
      <c r="O149" s="54"/>
      <c r="P149" s="54"/>
    </row>
    <row r="150" spans="1:17" x14ac:dyDescent="0.2">
      <c r="A150" s="55"/>
      <c r="B150" s="54"/>
      <c r="C150" s="54"/>
      <c r="D150" s="54"/>
      <c r="E150" s="54"/>
      <c r="F150" s="54"/>
      <c r="G150" s="54"/>
      <c r="H150" s="54"/>
      <c r="I150" s="54"/>
      <c r="J150" s="54"/>
      <c r="K150" s="54"/>
      <c r="L150" s="54"/>
      <c r="M150" s="54"/>
      <c r="N150" s="54"/>
      <c r="O150" s="54"/>
      <c r="P150" s="54"/>
      <c r="Q150" s="57"/>
    </row>
    <row r="151" spans="1:17" x14ac:dyDescent="0.2">
      <c r="B151" s="25"/>
      <c r="C151" s="25"/>
      <c r="D151" s="25"/>
      <c r="E151" s="58"/>
      <c r="F151" s="58"/>
      <c r="G151" s="58"/>
      <c r="H151" s="58"/>
    </row>
    <row r="152" spans="1:17" x14ac:dyDescent="0.2">
      <c r="B152" s="25"/>
      <c r="C152" s="25"/>
      <c r="D152" s="25"/>
      <c r="E152" s="58"/>
      <c r="F152" s="58"/>
      <c r="G152" s="58"/>
      <c r="H152" s="58"/>
    </row>
    <row r="153" spans="1:17" x14ac:dyDescent="0.2">
      <c r="B153" s="25"/>
      <c r="C153" s="25"/>
      <c r="D153" s="25"/>
      <c r="E153" s="58"/>
      <c r="F153" s="58"/>
      <c r="G153" s="58"/>
      <c r="H153" s="58"/>
    </row>
    <row r="154" spans="1:17" x14ac:dyDescent="0.2">
      <c r="B154" s="25"/>
      <c r="C154" s="25"/>
      <c r="D154" s="25"/>
      <c r="E154" s="58"/>
      <c r="F154" s="58"/>
      <c r="G154" s="58"/>
      <c r="H154" s="58"/>
    </row>
    <row r="155" spans="1:17" x14ac:dyDescent="0.2">
      <c r="B155" s="25"/>
      <c r="C155" s="25"/>
      <c r="D155" s="25"/>
      <c r="E155" s="58"/>
      <c r="F155" s="58"/>
      <c r="G155" s="58"/>
      <c r="H155" s="58"/>
    </row>
    <row r="156" spans="1:17" x14ac:dyDescent="0.2">
      <c r="B156" s="25"/>
      <c r="C156" s="25"/>
      <c r="D156" s="25"/>
      <c r="E156" s="58"/>
      <c r="F156" s="58"/>
      <c r="G156" s="58"/>
      <c r="H156" s="58"/>
    </row>
    <row r="157" spans="1:17" x14ac:dyDescent="0.2">
      <c r="B157" s="25"/>
      <c r="C157" s="25"/>
      <c r="D157" s="25"/>
      <c r="E157" s="58"/>
      <c r="F157" s="58"/>
      <c r="G157" s="58"/>
      <c r="H157" s="58"/>
    </row>
    <row r="158" spans="1:17" x14ac:dyDescent="0.2">
      <c r="B158" s="25"/>
      <c r="C158" s="25"/>
      <c r="D158" s="25"/>
      <c r="E158" s="58"/>
      <c r="F158" s="58"/>
      <c r="G158" s="58"/>
      <c r="H158" s="58"/>
    </row>
    <row r="159" spans="1:17" x14ac:dyDescent="0.2">
      <c r="B159" s="25"/>
      <c r="C159" s="25"/>
      <c r="D159" s="25"/>
      <c r="E159" s="58"/>
      <c r="F159" s="58"/>
      <c r="G159" s="58"/>
      <c r="H159" s="58"/>
    </row>
    <row r="160" spans="1:17" x14ac:dyDescent="0.2">
      <c r="B160" s="25"/>
      <c r="C160" s="25"/>
      <c r="D160" s="25"/>
      <c r="E160" s="58"/>
      <c r="F160" s="58"/>
      <c r="G160" s="58"/>
      <c r="H160" s="58"/>
    </row>
    <row r="161" spans="2:8" x14ac:dyDescent="0.2">
      <c r="B161" s="25"/>
      <c r="C161" s="25"/>
      <c r="D161" s="25"/>
      <c r="E161" s="58"/>
      <c r="F161" s="58"/>
      <c r="G161" s="58"/>
      <c r="H161" s="58"/>
    </row>
    <row r="162" spans="2:8" x14ac:dyDescent="0.2">
      <c r="B162" s="25"/>
      <c r="C162" s="25"/>
      <c r="D162" s="25"/>
      <c r="E162" s="58"/>
      <c r="F162" s="58"/>
      <c r="G162" s="58"/>
      <c r="H162" s="58"/>
    </row>
    <row r="163" spans="2:8" x14ac:dyDescent="0.2">
      <c r="B163" s="25"/>
      <c r="C163" s="25"/>
      <c r="D163" s="25"/>
      <c r="E163" s="58"/>
      <c r="F163" s="58"/>
      <c r="G163" s="58"/>
      <c r="H163" s="58"/>
    </row>
    <row r="164" spans="2:8" x14ac:dyDescent="0.2">
      <c r="B164" s="25"/>
      <c r="C164" s="25"/>
      <c r="D164" s="25"/>
      <c r="E164" s="58"/>
      <c r="F164" s="58"/>
      <c r="G164" s="58"/>
      <c r="H164" s="58"/>
    </row>
    <row r="165" spans="2:8" x14ac:dyDescent="0.2">
      <c r="B165" s="25"/>
      <c r="C165" s="25"/>
      <c r="D165" s="25"/>
      <c r="E165" s="58"/>
      <c r="F165" s="58"/>
      <c r="G165" s="58"/>
      <c r="H165" s="58"/>
    </row>
    <row r="166" spans="2:8" x14ac:dyDescent="0.2">
      <c r="B166" s="25"/>
      <c r="C166" s="25"/>
      <c r="D166" s="25"/>
      <c r="E166" s="58"/>
      <c r="F166" s="58"/>
      <c r="G166" s="58"/>
      <c r="H166" s="58"/>
    </row>
    <row r="167" spans="2:8" x14ac:dyDescent="0.2">
      <c r="B167" s="25"/>
      <c r="C167" s="25"/>
      <c r="D167" s="25"/>
      <c r="E167" s="58"/>
      <c r="F167" s="58"/>
      <c r="G167" s="58"/>
      <c r="H167" s="58"/>
    </row>
    <row r="168" spans="2:8" x14ac:dyDescent="0.2">
      <c r="B168" s="25"/>
      <c r="C168" s="25"/>
      <c r="D168" s="25"/>
      <c r="E168" s="58"/>
      <c r="F168" s="58"/>
      <c r="G168" s="58"/>
      <c r="H168" s="58"/>
    </row>
    <row r="169" spans="2:8" x14ac:dyDescent="0.2">
      <c r="B169" s="25"/>
      <c r="C169" s="25"/>
      <c r="D169" s="25"/>
      <c r="E169" s="58"/>
      <c r="F169" s="58"/>
      <c r="G169" s="58"/>
      <c r="H169" s="58"/>
    </row>
    <row r="170" spans="2:8" x14ac:dyDescent="0.2">
      <c r="B170" s="25"/>
      <c r="C170" s="25"/>
      <c r="D170" s="25"/>
      <c r="E170" s="58"/>
      <c r="F170" s="58"/>
      <c r="G170" s="58"/>
      <c r="H170" s="58"/>
    </row>
    <row r="171" spans="2:8" x14ac:dyDescent="0.2">
      <c r="B171" s="25"/>
      <c r="C171" s="25"/>
      <c r="D171" s="25"/>
      <c r="E171" s="58"/>
      <c r="F171" s="58"/>
      <c r="G171" s="58"/>
      <c r="H171" s="58"/>
    </row>
    <row r="172" spans="2:8" x14ac:dyDescent="0.2">
      <c r="B172" s="25"/>
      <c r="C172" s="25"/>
      <c r="D172" s="25"/>
      <c r="E172" s="58"/>
      <c r="F172" s="58"/>
      <c r="G172" s="58"/>
      <c r="H172" s="58"/>
    </row>
    <row r="173" spans="2:8" x14ac:dyDescent="0.2">
      <c r="B173" s="25"/>
      <c r="C173" s="25"/>
      <c r="D173" s="25"/>
      <c r="E173" s="58"/>
      <c r="F173" s="58"/>
      <c r="G173" s="58"/>
      <c r="H173" s="58"/>
    </row>
    <row r="174" spans="2:8" x14ac:dyDescent="0.2">
      <c r="B174" s="25"/>
      <c r="C174" s="25"/>
      <c r="D174" s="25"/>
      <c r="E174" s="58"/>
      <c r="F174" s="58"/>
      <c r="G174" s="58"/>
      <c r="H174" s="58"/>
    </row>
    <row r="175" spans="2:8" x14ac:dyDescent="0.2">
      <c r="B175" s="25"/>
      <c r="C175" s="25"/>
      <c r="D175" s="25"/>
      <c r="E175" s="58"/>
      <c r="F175" s="58"/>
      <c r="G175" s="58"/>
      <c r="H175" s="58"/>
    </row>
    <row r="176" spans="2:8" x14ac:dyDescent="0.2">
      <c r="B176" s="25"/>
      <c r="C176" s="25"/>
      <c r="D176" s="25"/>
      <c r="E176" s="58"/>
      <c r="F176" s="58"/>
      <c r="G176" s="58"/>
      <c r="H176" s="58"/>
    </row>
    <row r="177" spans="2:8" x14ac:dyDescent="0.2">
      <c r="B177" s="25"/>
      <c r="C177" s="25"/>
      <c r="D177" s="25"/>
      <c r="E177" s="58"/>
      <c r="F177" s="58"/>
      <c r="G177" s="58"/>
      <c r="H177" s="58"/>
    </row>
    <row r="178" spans="2:8" x14ac:dyDescent="0.2">
      <c r="B178" s="25"/>
      <c r="C178" s="25"/>
      <c r="D178" s="25"/>
      <c r="E178" s="58"/>
      <c r="F178" s="58"/>
      <c r="G178" s="58"/>
      <c r="H178" s="58"/>
    </row>
    <row r="179" spans="2:8" x14ac:dyDescent="0.2">
      <c r="B179" s="25"/>
      <c r="C179" s="25"/>
      <c r="D179" s="25"/>
      <c r="E179" s="58"/>
      <c r="F179" s="58"/>
      <c r="G179" s="58"/>
      <c r="H179" s="58"/>
    </row>
    <row r="180" spans="2:8" x14ac:dyDescent="0.2">
      <c r="B180" s="25"/>
    </row>
    <row r="181" spans="2:8" x14ac:dyDescent="0.2">
      <c r="B181" s="25"/>
    </row>
    <row r="182" spans="2:8" x14ac:dyDescent="0.2">
      <c r="B182" s="25"/>
    </row>
    <row r="183" spans="2:8" x14ac:dyDescent="0.2">
      <c r="B183" s="25"/>
    </row>
    <row r="184" spans="2:8" x14ac:dyDescent="0.2">
      <c r="B184" s="25"/>
    </row>
    <row r="185" spans="2:8" x14ac:dyDescent="0.2">
      <c r="B185" s="25"/>
    </row>
    <row r="186" spans="2:8" x14ac:dyDescent="0.2">
      <c r="B186" s="25"/>
    </row>
    <row r="187" spans="2:8" x14ac:dyDescent="0.2">
      <c r="B187" s="25"/>
    </row>
    <row r="188" spans="2:8" x14ac:dyDescent="0.2">
      <c r="B188" s="25"/>
    </row>
    <row r="189" spans="2:8" x14ac:dyDescent="0.2">
      <c r="B189" s="25"/>
    </row>
    <row r="190" spans="2:8" x14ac:dyDescent="0.2">
      <c r="B190" s="25"/>
    </row>
    <row r="191" spans="2:8" x14ac:dyDescent="0.2">
      <c r="B191" s="25"/>
    </row>
    <row r="192" spans="2:8" x14ac:dyDescent="0.2">
      <c r="B192" s="25"/>
    </row>
    <row r="193" spans="2:2" x14ac:dyDescent="0.2">
      <c r="B193" s="25"/>
    </row>
    <row r="194" spans="2:2" x14ac:dyDescent="0.2">
      <c r="B194" s="25"/>
    </row>
    <row r="195" spans="2:2" x14ac:dyDescent="0.2">
      <c r="B195" s="25"/>
    </row>
    <row r="196" spans="2:2" x14ac:dyDescent="0.2">
      <c r="B196" s="25"/>
    </row>
  </sheetData>
  <mergeCells count="38">
    <mergeCell ref="A142:N142"/>
    <mergeCell ref="K2:K3"/>
    <mergeCell ref="A136:N136"/>
    <mergeCell ref="A137:N137"/>
    <mergeCell ref="A138:N138"/>
    <mergeCell ref="A139:N139"/>
    <mergeCell ref="A140:N140"/>
    <mergeCell ref="A141:N141"/>
    <mergeCell ref="O117:W117"/>
    <mergeCell ref="O64:U64"/>
    <mergeCell ref="O84:W84"/>
    <mergeCell ref="O86:W87"/>
    <mergeCell ref="O101:W101"/>
    <mergeCell ref="O102:W102"/>
    <mergeCell ref="O103:W103"/>
    <mergeCell ref="O104:W104"/>
    <mergeCell ref="O106:W106"/>
    <mergeCell ref="O110:W110"/>
    <mergeCell ref="O111:W111"/>
    <mergeCell ref="O115:W115"/>
    <mergeCell ref="O52:W52"/>
    <mergeCell ref="O29:V29"/>
    <mergeCell ref="O31:W31"/>
    <mergeCell ref="O32:W32"/>
    <mergeCell ref="O35:W36"/>
    <mergeCell ref="O40:W40"/>
    <mergeCell ref="O41:W41"/>
    <mergeCell ref="O43:T43"/>
    <mergeCell ref="O45:W45"/>
    <mergeCell ref="O48:W48"/>
    <mergeCell ref="O50:W50"/>
    <mergeCell ref="O51:W51"/>
    <mergeCell ref="O27:W27"/>
    <mergeCell ref="O15:V15"/>
    <mergeCell ref="O17:W17"/>
    <mergeCell ref="O24:W24"/>
    <mergeCell ref="O25:W25"/>
    <mergeCell ref="O26:W26"/>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0" fitToHeight="99"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1">
    <pageSetUpPr fitToPage="1"/>
  </sheetPr>
  <dimension ref="A1:Q8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178</v>
      </c>
      <c r="C3" s="10" t="s">
        <v>179</v>
      </c>
      <c r="D3" s="6"/>
      <c r="E3" s="11"/>
      <c r="F3" s="9"/>
      <c r="G3" s="11"/>
      <c r="H3" s="6"/>
      <c r="I3" s="11"/>
      <c r="J3" s="6"/>
      <c r="K3" s="1734"/>
      <c r="L3" s="6"/>
      <c r="M3" s="11"/>
      <c r="N3" s="6"/>
    </row>
    <row r="4" spans="1:16" s="4" customFormat="1" ht="15.75" x14ac:dyDescent="0.25">
      <c r="A4" s="1" t="s">
        <v>180</v>
      </c>
      <c r="B4" s="10" t="s">
        <v>181</v>
      </c>
      <c r="C4" s="10" t="s">
        <v>182</v>
      </c>
      <c r="D4" s="6"/>
      <c r="E4" s="11"/>
      <c r="F4" s="9"/>
      <c r="G4" s="11"/>
      <c r="H4" s="6"/>
      <c r="I4" s="11"/>
      <c r="J4" s="6"/>
      <c r="K4" s="11"/>
      <c r="L4" s="6"/>
      <c r="M4" s="11"/>
      <c r="N4" s="6"/>
    </row>
    <row r="5" spans="1:16" s="4" customFormat="1" ht="15.75" x14ac:dyDescent="0.2">
      <c r="A5" s="1" t="s">
        <v>183</v>
      </c>
      <c r="B5" s="12" t="s">
        <v>202</v>
      </c>
      <c r="C5" s="12" t="s">
        <v>203</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row>
    <row r="11" spans="1:16" s="37" customFormat="1" x14ac:dyDescent="0.2">
      <c r="A11" s="35" t="s">
        <v>195</v>
      </c>
      <c r="B11" s="36"/>
    </row>
    <row r="12" spans="1:16" s="40" customFormat="1" x14ac:dyDescent="0.2">
      <c r="A12" s="38" t="s">
        <v>196</v>
      </c>
      <c r="B12" s="39"/>
    </row>
    <row r="13" spans="1:16" s="40" customFormat="1" x14ac:dyDescent="0.2">
      <c r="A13" s="41" t="s">
        <v>197</v>
      </c>
      <c r="B13" s="39"/>
      <c r="C13" s="62">
        <v>47</v>
      </c>
      <c r="D13" s="63"/>
      <c r="E13" s="62">
        <v>48</v>
      </c>
      <c r="F13" s="63"/>
      <c r="G13" s="62"/>
      <c r="H13" s="63"/>
      <c r="I13" s="62">
        <v>49</v>
      </c>
      <c r="K13" s="42"/>
      <c r="M13" s="45"/>
    </row>
    <row r="14" spans="1:16" s="40" customFormat="1" x14ac:dyDescent="0.2">
      <c r="A14" s="41" t="s">
        <v>198</v>
      </c>
      <c r="B14" s="39"/>
      <c r="C14" s="62">
        <v>47</v>
      </c>
      <c r="D14" s="63"/>
      <c r="E14" s="62">
        <v>48</v>
      </c>
      <c r="F14" s="63"/>
      <c r="G14" s="62"/>
      <c r="H14" s="63"/>
      <c r="I14" s="62">
        <v>49</v>
      </c>
      <c r="K14" s="42"/>
      <c r="M14" s="43"/>
    </row>
    <row r="15" spans="1:16" s="40" customFormat="1" x14ac:dyDescent="0.2">
      <c r="A15" s="38" t="s">
        <v>199</v>
      </c>
      <c r="B15" s="39"/>
      <c r="C15" s="63"/>
      <c r="D15" s="63"/>
      <c r="E15" s="62"/>
      <c r="F15" s="63"/>
      <c r="G15" s="63"/>
      <c r="H15" s="63"/>
      <c r="I15" s="63"/>
      <c r="M15" s="43"/>
    </row>
    <row r="16" spans="1:16" s="40" customFormat="1" x14ac:dyDescent="0.2">
      <c r="A16" s="41" t="s">
        <v>203</v>
      </c>
      <c r="B16" s="39"/>
      <c r="C16" s="62">
        <v>47</v>
      </c>
      <c r="D16" s="63"/>
      <c r="E16" s="62">
        <v>48</v>
      </c>
      <c r="F16" s="63"/>
      <c r="G16" s="62"/>
      <c r="H16" s="63"/>
      <c r="I16" s="62">
        <v>49</v>
      </c>
      <c r="K16" s="42"/>
      <c r="M16" s="43"/>
    </row>
    <row r="17" spans="1:17" s="40" customFormat="1" x14ac:dyDescent="0.2">
      <c r="A17" s="41" t="s">
        <v>198</v>
      </c>
      <c r="B17" s="39"/>
      <c r="C17" s="62">
        <v>47</v>
      </c>
      <c r="D17" s="63"/>
      <c r="E17" s="62">
        <v>48</v>
      </c>
      <c r="F17" s="63"/>
      <c r="G17" s="62"/>
      <c r="H17" s="63"/>
      <c r="I17" s="62">
        <v>49</v>
      </c>
      <c r="K17" s="42"/>
      <c r="M17" s="43"/>
    </row>
    <row r="18" spans="1:17" s="48" customFormat="1" x14ac:dyDescent="0.2">
      <c r="A18" s="46"/>
      <c r="B18" s="47"/>
    </row>
    <row r="19" spans="1:17" s="48" customFormat="1" x14ac:dyDescent="0.2">
      <c r="A19" s="49" t="s">
        <v>200</v>
      </c>
      <c r="B19" s="50"/>
      <c r="C19" s="51"/>
      <c r="D19" s="52"/>
      <c r="E19" s="53"/>
      <c r="F19" s="52"/>
      <c r="G19" s="53"/>
      <c r="H19" s="52"/>
      <c r="I19" s="53"/>
      <c r="J19" s="52"/>
      <c r="K19" s="53"/>
      <c r="L19" s="52"/>
      <c r="M19" s="51"/>
      <c r="N19" s="52"/>
    </row>
    <row r="20" spans="1:17" ht="43.5" customHeight="1" x14ac:dyDescent="0.2">
      <c r="A20" s="1738" t="s">
        <v>204</v>
      </c>
      <c r="B20" s="1736"/>
      <c r="C20" s="1737"/>
      <c r="D20" s="1736"/>
      <c r="E20" s="1737"/>
      <c r="F20" s="1736"/>
      <c r="G20" s="1737"/>
      <c r="H20" s="1736"/>
      <c r="I20" s="1737"/>
      <c r="J20" s="1736"/>
      <c r="K20" s="1737"/>
      <c r="L20" s="1736"/>
      <c r="M20" s="1737"/>
      <c r="N20" s="1736"/>
      <c r="O20" s="54"/>
      <c r="P20" s="54"/>
      <c r="Q20" s="951"/>
    </row>
    <row r="21" spans="1:17" ht="27.75" customHeight="1" x14ac:dyDescent="0.2">
      <c r="A21" s="1735"/>
      <c r="B21" s="1736"/>
      <c r="C21" s="1737"/>
      <c r="D21" s="1736"/>
      <c r="E21" s="1737"/>
      <c r="F21" s="1736"/>
      <c r="G21" s="1737"/>
      <c r="H21" s="1736"/>
      <c r="I21" s="1737"/>
      <c r="J21" s="1736"/>
      <c r="K21" s="1737"/>
      <c r="L21" s="1736"/>
      <c r="M21" s="1737"/>
      <c r="N21" s="1736"/>
      <c r="O21" s="54"/>
      <c r="P21" s="54"/>
    </row>
    <row r="22" spans="1:17" ht="27.75" customHeight="1" x14ac:dyDescent="0.2">
      <c r="A22" s="1735"/>
      <c r="B22" s="1736"/>
      <c r="C22" s="1737"/>
      <c r="D22" s="1736"/>
      <c r="E22" s="1737"/>
      <c r="F22" s="1736"/>
      <c r="G22" s="1737"/>
      <c r="H22" s="1736"/>
      <c r="I22" s="1737"/>
      <c r="J22" s="1736"/>
      <c r="K22" s="1737"/>
      <c r="L22" s="1736"/>
      <c r="M22" s="1737"/>
      <c r="N22" s="1736"/>
      <c r="O22" s="54"/>
      <c r="P22" s="54"/>
    </row>
    <row r="23" spans="1:17" ht="27.75" customHeight="1" x14ac:dyDescent="0.2">
      <c r="A23" s="1735"/>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ht="27.75" customHeight="1" x14ac:dyDescent="0.2">
      <c r="A25" s="1735"/>
      <c r="B25" s="1736"/>
      <c r="C25" s="1737"/>
      <c r="D25" s="1736"/>
      <c r="E25" s="1737"/>
      <c r="F25" s="1736"/>
      <c r="G25" s="1737"/>
      <c r="H25" s="1736"/>
      <c r="I25" s="1737"/>
      <c r="J25" s="1736"/>
      <c r="K25" s="1737"/>
      <c r="L25" s="1736"/>
      <c r="M25" s="1737"/>
      <c r="N25" s="1736"/>
      <c r="O25" s="54"/>
      <c r="P25" s="54"/>
    </row>
    <row r="26" spans="1:17" ht="27.75" customHeight="1" x14ac:dyDescent="0.2">
      <c r="A26" s="1735"/>
      <c r="B26" s="1736"/>
      <c r="C26" s="1737"/>
      <c r="D26" s="1736"/>
      <c r="E26" s="1737"/>
      <c r="F26" s="1736"/>
      <c r="G26" s="1737"/>
      <c r="H26" s="1736"/>
      <c r="I26" s="1737"/>
      <c r="J26" s="1736"/>
      <c r="K26" s="1737"/>
      <c r="L26" s="1736"/>
      <c r="M26" s="1737"/>
      <c r="N26" s="1736"/>
      <c r="O26" s="54"/>
      <c r="P26" s="54"/>
    </row>
    <row r="27" spans="1:17" ht="27.75" customHeight="1" x14ac:dyDescent="0.2">
      <c r="A27" s="1735"/>
      <c r="B27" s="1736"/>
      <c r="C27" s="1737"/>
      <c r="D27" s="1736"/>
      <c r="E27" s="1737"/>
      <c r="F27" s="1736"/>
      <c r="G27" s="1737"/>
      <c r="H27" s="1736"/>
      <c r="I27" s="1737"/>
      <c r="J27" s="1736"/>
      <c r="K27" s="1737"/>
      <c r="L27" s="1736"/>
      <c r="M27" s="1737"/>
      <c r="N27" s="1736"/>
      <c r="O27" s="54"/>
      <c r="P27" s="54"/>
    </row>
    <row r="28" spans="1:17" ht="27.75" customHeight="1" x14ac:dyDescent="0.2">
      <c r="A28" s="1735"/>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x14ac:dyDescent="0.2">
      <c r="A30" s="55"/>
      <c r="B30" s="54"/>
      <c r="C30" s="56"/>
      <c r="D30" s="54"/>
      <c r="E30" s="56"/>
      <c r="F30" s="54"/>
      <c r="G30" s="56"/>
      <c r="H30" s="54"/>
      <c r="I30" s="56"/>
      <c r="J30" s="54"/>
      <c r="K30" s="56"/>
      <c r="L30" s="54"/>
      <c r="M30" s="56"/>
      <c r="N30" s="54"/>
      <c r="O30" s="54"/>
      <c r="P30" s="54"/>
    </row>
    <row r="31" spans="1:17" x14ac:dyDescent="0.2">
      <c r="A31" s="55"/>
      <c r="B31" s="54"/>
      <c r="C31" s="54"/>
      <c r="D31" s="54"/>
      <c r="E31" s="54"/>
      <c r="F31" s="54"/>
      <c r="G31" s="54"/>
      <c r="H31" s="54"/>
      <c r="I31" s="54"/>
      <c r="J31" s="54"/>
      <c r="K31" s="54"/>
      <c r="L31" s="54"/>
      <c r="M31" s="54"/>
      <c r="N31" s="54"/>
      <c r="O31" s="54"/>
      <c r="P31" s="54"/>
    </row>
    <row r="32" spans="1:17" x14ac:dyDescent="0.2">
      <c r="A32" s="55"/>
      <c r="B32" s="54"/>
      <c r="C32" s="56"/>
      <c r="D32" s="54"/>
      <c r="E32" s="56"/>
      <c r="F32" s="54"/>
      <c r="G32" s="56"/>
      <c r="H32" s="54"/>
      <c r="I32" s="56"/>
      <c r="J32" s="54"/>
      <c r="K32" s="56"/>
      <c r="L32" s="54"/>
      <c r="M32" s="56"/>
      <c r="N32" s="54"/>
      <c r="O32" s="54"/>
      <c r="P32" s="54"/>
    </row>
    <row r="33" spans="1:17" x14ac:dyDescent="0.2">
      <c r="A33" s="55"/>
      <c r="B33" s="54"/>
      <c r="C33" s="54"/>
      <c r="D33" s="54"/>
      <c r="E33" s="54"/>
      <c r="F33" s="54"/>
      <c r="G33" s="54"/>
      <c r="H33" s="54"/>
      <c r="I33" s="54"/>
      <c r="J33" s="54"/>
      <c r="K33" s="54"/>
      <c r="L33" s="54"/>
      <c r="M33" s="54"/>
      <c r="N33" s="54"/>
      <c r="O33" s="54"/>
      <c r="P33" s="54"/>
    </row>
    <row r="34" spans="1:17" x14ac:dyDescent="0.2">
      <c r="A34" s="55"/>
      <c r="B34" s="54"/>
      <c r="C34" s="56"/>
      <c r="D34" s="54"/>
      <c r="E34" s="56"/>
      <c r="F34" s="54"/>
      <c r="G34" s="56"/>
      <c r="H34" s="54"/>
      <c r="I34" s="56"/>
      <c r="J34" s="54"/>
      <c r="K34" s="56"/>
      <c r="L34" s="54"/>
      <c r="M34" s="56"/>
      <c r="N34" s="54"/>
      <c r="O34" s="54"/>
      <c r="P34" s="54"/>
    </row>
    <row r="35" spans="1:17" x14ac:dyDescent="0.2">
      <c r="A35" s="55"/>
      <c r="B35" s="54"/>
      <c r="C35" s="54"/>
      <c r="D35" s="54"/>
      <c r="E35" s="54"/>
      <c r="F35" s="54"/>
      <c r="G35" s="54"/>
      <c r="H35" s="54"/>
      <c r="I35" s="54"/>
      <c r="J35" s="54"/>
      <c r="K35" s="54"/>
      <c r="L35" s="54"/>
      <c r="M35" s="54"/>
      <c r="N35" s="54"/>
      <c r="O35" s="54"/>
      <c r="P35" s="54"/>
    </row>
    <row r="36" spans="1:17" x14ac:dyDescent="0.2">
      <c r="A36" s="55"/>
      <c r="B36" s="54"/>
      <c r="C36" s="54"/>
      <c r="D36" s="54"/>
      <c r="E36" s="54"/>
      <c r="F36" s="54"/>
      <c r="G36" s="54"/>
      <c r="H36" s="54"/>
      <c r="I36" s="54"/>
      <c r="J36" s="54"/>
      <c r="K36" s="54"/>
      <c r="L36" s="54"/>
      <c r="M36" s="54"/>
      <c r="N36" s="54"/>
      <c r="O36" s="54"/>
      <c r="P36" s="54"/>
    </row>
    <row r="37" spans="1:17" x14ac:dyDescent="0.2">
      <c r="A37" s="55"/>
      <c r="B37" s="54"/>
      <c r="C37" s="54"/>
      <c r="D37" s="54"/>
      <c r="E37" s="54"/>
      <c r="F37" s="54"/>
      <c r="G37" s="54"/>
      <c r="H37" s="54"/>
      <c r="I37" s="54"/>
      <c r="J37" s="54"/>
      <c r="K37" s="54"/>
      <c r="L37" s="54"/>
      <c r="M37" s="54"/>
      <c r="N37" s="54"/>
      <c r="O37" s="54"/>
      <c r="P37" s="54"/>
      <c r="Q37" s="57"/>
    </row>
    <row r="38" spans="1:17" x14ac:dyDescent="0.2">
      <c r="B38" s="25"/>
      <c r="C38" s="25"/>
      <c r="D38" s="25"/>
      <c r="E38" s="58"/>
      <c r="F38" s="58"/>
      <c r="G38" s="58"/>
      <c r="H38" s="58"/>
    </row>
    <row r="39" spans="1:17" x14ac:dyDescent="0.2">
      <c r="B39" s="25"/>
      <c r="C39" s="25"/>
      <c r="D39" s="25"/>
      <c r="E39" s="58"/>
      <c r="F39" s="58"/>
      <c r="G39" s="58"/>
      <c r="H39" s="58"/>
    </row>
    <row r="40" spans="1:17" x14ac:dyDescent="0.2">
      <c r="B40" s="25"/>
      <c r="C40" s="25"/>
      <c r="D40" s="25"/>
      <c r="E40" s="58"/>
      <c r="F40" s="58"/>
      <c r="G40" s="58"/>
      <c r="H40" s="58"/>
    </row>
    <row r="41" spans="1:17" x14ac:dyDescent="0.2">
      <c r="B41" s="25"/>
      <c r="C41" s="25"/>
      <c r="D41" s="25"/>
      <c r="E41" s="58"/>
      <c r="F41" s="58"/>
      <c r="G41" s="58"/>
      <c r="H41" s="58"/>
    </row>
    <row r="42" spans="1:17" x14ac:dyDescent="0.2">
      <c r="B42" s="25"/>
      <c r="C42" s="25"/>
      <c r="D42" s="25"/>
      <c r="E42" s="58"/>
      <c r="F42" s="58"/>
      <c r="G42" s="58"/>
      <c r="H42" s="58"/>
    </row>
    <row r="43" spans="1:17" x14ac:dyDescent="0.2">
      <c r="B43" s="25"/>
      <c r="C43" s="25"/>
      <c r="D43" s="25"/>
      <c r="E43" s="58"/>
      <c r="F43" s="58"/>
      <c r="G43" s="58"/>
      <c r="H43" s="58"/>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sheetData>
  <mergeCells count="11">
    <mergeCell ref="A26:N26"/>
    <mergeCell ref="A27:N27"/>
    <mergeCell ref="A28:N28"/>
    <mergeCell ref="A29:N29"/>
    <mergeCell ref="K2:K3"/>
    <mergeCell ref="A20:N20"/>
    <mergeCell ref="A21:N21"/>
    <mergeCell ref="A22:N22"/>
    <mergeCell ref="A23:N23"/>
    <mergeCell ref="A24:N24"/>
    <mergeCell ref="A25:N25"/>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5">
    <pageSetUpPr fitToPage="1"/>
  </sheetPr>
  <dimension ref="A1:Q136"/>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0.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818</v>
      </c>
      <c r="C3" s="10" t="s">
        <v>833</v>
      </c>
      <c r="D3" s="6"/>
      <c r="E3" s="11"/>
      <c r="F3" s="9"/>
      <c r="G3" s="11"/>
      <c r="H3" s="6"/>
      <c r="I3" s="11"/>
      <c r="J3" s="6"/>
      <c r="K3" s="1734"/>
      <c r="L3" s="6"/>
      <c r="M3" s="11"/>
      <c r="N3" s="6"/>
    </row>
    <row r="4" spans="1:16" s="4" customFormat="1" ht="15.75" x14ac:dyDescent="0.25">
      <c r="A4" s="1" t="s">
        <v>180</v>
      </c>
      <c r="B4" s="10" t="s">
        <v>417</v>
      </c>
      <c r="C4" s="10" t="s">
        <v>24</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549" t="s">
        <v>222</v>
      </c>
      <c r="B10" s="550"/>
      <c r="C10" s="551"/>
      <c r="D10" s="551"/>
      <c r="M10" s="551"/>
      <c r="N10" s="551"/>
    </row>
    <row r="11" spans="1:16" s="37" customFormat="1" x14ac:dyDescent="0.2">
      <c r="A11" s="549" t="s">
        <v>942</v>
      </c>
      <c r="B11" s="550"/>
      <c r="C11" s="551"/>
      <c r="D11" s="551"/>
      <c r="M11" s="551"/>
      <c r="N11" s="551"/>
    </row>
    <row r="12" spans="1:16" s="40" customFormat="1" x14ac:dyDescent="0.2">
      <c r="A12" s="552" t="s">
        <v>943</v>
      </c>
      <c r="B12" s="553"/>
      <c r="C12" s="554">
        <v>813</v>
      </c>
      <c r="D12" s="555"/>
      <c r="E12" s="556">
        <v>835</v>
      </c>
      <c r="G12" s="556">
        <v>840</v>
      </c>
      <c r="I12" s="556">
        <v>850</v>
      </c>
      <c r="K12" s="557">
        <v>855</v>
      </c>
      <c r="M12" s="558"/>
      <c r="N12" s="559"/>
    </row>
    <row r="13" spans="1:16" s="40" customFormat="1" x14ac:dyDescent="0.2">
      <c r="A13" s="560" t="s">
        <v>944</v>
      </c>
      <c r="B13" s="553"/>
      <c r="C13" s="561">
        <v>1157</v>
      </c>
      <c r="D13" s="555"/>
      <c r="E13" s="555">
        <v>1125</v>
      </c>
      <c r="G13" s="555">
        <v>1250</v>
      </c>
      <c r="I13" s="555">
        <v>1130</v>
      </c>
      <c r="K13" s="562">
        <v>1135</v>
      </c>
      <c r="M13" s="563"/>
      <c r="N13" s="559"/>
    </row>
    <row r="14" spans="1:16" s="40" customFormat="1" x14ac:dyDescent="0.2">
      <c r="A14" s="560" t="s">
        <v>945</v>
      </c>
      <c r="B14" s="553"/>
      <c r="C14" s="561">
        <v>889</v>
      </c>
      <c r="D14" s="555"/>
      <c r="E14" s="555">
        <v>916</v>
      </c>
      <c r="G14" s="555">
        <v>950</v>
      </c>
      <c r="I14" s="555">
        <v>944</v>
      </c>
      <c r="K14" s="562">
        <v>972</v>
      </c>
      <c r="M14" s="563"/>
      <c r="N14" s="559"/>
    </row>
    <row r="15" spans="1:16" s="40" customFormat="1" x14ac:dyDescent="0.2">
      <c r="A15" s="560" t="s">
        <v>946</v>
      </c>
      <c r="B15" s="553"/>
      <c r="C15" s="561">
        <v>90743</v>
      </c>
      <c r="D15" s="555"/>
      <c r="E15" s="555">
        <v>93139</v>
      </c>
      <c r="G15" s="555">
        <v>93250</v>
      </c>
      <c r="I15" s="555">
        <v>93399</v>
      </c>
      <c r="K15" s="562">
        <v>93440</v>
      </c>
      <c r="M15" s="563"/>
      <c r="N15" s="559"/>
    </row>
    <row r="16" spans="1:16" s="40" customFormat="1" x14ac:dyDescent="0.2">
      <c r="A16" s="564" t="s">
        <v>947</v>
      </c>
      <c r="B16" s="553"/>
      <c r="C16" s="565">
        <v>860</v>
      </c>
      <c r="D16" s="555"/>
      <c r="E16" s="566">
        <v>821</v>
      </c>
      <c r="G16" s="566">
        <v>860</v>
      </c>
      <c r="I16" s="566">
        <v>821</v>
      </c>
      <c r="K16" s="562">
        <v>821</v>
      </c>
      <c r="M16" s="563"/>
      <c r="N16" s="559"/>
    </row>
    <row r="17" spans="1:14" s="40" customFormat="1" x14ac:dyDescent="0.2">
      <c r="A17" s="564" t="s">
        <v>948</v>
      </c>
      <c r="B17" s="553"/>
      <c r="C17" s="565">
        <v>667</v>
      </c>
      <c r="D17" s="555"/>
      <c r="E17" s="566">
        <v>657</v>
      </c>
      <c r="G17" s="566">
        <v>667</v>
      </c>
      <c r="I17" s="566">
        <v>657</v>
      </c>
      <c r="K17" s="562">
        <v>657</v>
      </c>
      <c r="M17" s="563"/>
      <c r="N17" s="559"/>
    </row>
    <row r="18" spans="1:14" s="40" customFormat="1" x14ac:dyDescent="0.2">
      <c r="A18" s="560" t="s">
        <v>949</v>
      </c>
      <c r="B18" s="553"/>
      <c r="C18" s="565">
        <v>6</v>
      </c>
      <c r="D18" s="555"/>
      <c r="E18" s="566">
        <v>6</v>
      </c>
      <c r="G18" s="566">
        <v>6</v>
      </c>
      <c r="I18" s="566">
        <v>6</v>
      </c>
      <c r="K18" s="562">
        <v>6</v>
      </c>
      <c r="M18" s="563"/>
      <c r="N18" s="559"/>
    </row>
    <row r="19" spans="1:14" s="40" customFormat="1" x14ac:dyDescent="0.2">
      <c r="A19" s="560" t="s">
        <v>950</v>
      </c>
      <c r="B19" s="553"/>
      <c r="C19" s="565">
        <v>1850</v>
      </c>
      <c r="D19" s="555"/>
      <c r="E19" s="566">
        <v>1845</v>
      </c>
      <c r="G19" s="566">
        <v>1850</v>
      </c>
      <c r="I19" s="566">
        <v>1845</v>
      </c>
      <c r="K19" s="562">
        <v>1845</v>
      </c>
      <c r="M19" s="563"/>
      <c r="N19" s="559"/>
    </row>
    <row r="20" spans="1:14" s="40" customFormat="1" x14ac:dyDescent="0.2">
      <c r="A20" s="560" t="s">
        <v>951</v>
      </c>
      <c r="B20" s="553"/>
      <c r="C20" s="561">
        <v>36</v>
      </c>
      <c r="D20" s="555"/>
      <c r="E20" s="555">
        <v>59</v>
      </c>
      <c r="G20" s="555">
        <v>40</v>
      </c>
      <c r="I20" s="555">
        <v>60</v>
      </c>
      <c r="K20" s="562">
        <v>65</v>
      </c>
      <c r="M20" s="563"/>
      <c r="N20" s="559"/>
    </row>
    <row r="21" spans="1:14" s="40" customFormat="1" x14ac:dyDescent="0.2">
      <c r="A21" s="560" t="s">
        <v>952</v>
      </c>
      <c r="B21" s="553"/>
      <c r="C21" s="561">
        <v>415</v>
      </c>
      <c r="D21" s="555"/>
      <c r="E21" s="555">
        <v>468</v>
      </c>
      <c r="G21" s="555">
        <v>400</v>
      </c>
      <c r="I21" s="555">
        <v>480</v>
      </c>
      <c r="K21" s="562">
        <v>490</v>
      </c>
      <c r="M21" s="563"/>
      <c r="N21" s="559"/>
    </row>
    <row r="22" spans="1:14" s="40" customFormat="1" x14ac:dyDescent="0.2">
      <c r="A22" s="560" t="s">
        <v>953</v>
      </c>
      <c r="B22" s="553"/>
      <c r="C22" s="561">
        <v>17037</v>
      </c>
      <c r="D22" s="555"/>
      <c r="E22" s="555">
        <v>17880</v>
      </c>
      <c r="G22" s="555">
        <v>18785</v>
      </c>
      <c r="I22" s="555">
        <v>16575</v>
      </c>
      <c r="K22" s="562">
        <v>17624</v>
      </c>
      <c r="M22" s="563"/>
      <c r="N22" s="559"/>
    </row>
    <row r="23" spans="1:14" s="40" customFormat="1" x14ac:dyDescent="0.2">
      <c r="A23" s="552" t="s">
        <v>954</v>
      </c>
      <c r="B23" s="553"/>
      <c r="C23" s="561">
        <f>1434-170</f>
        <v>1264</v>
      </c>
      <c r="D23" s="555"/>
      <c r="E23" s="555">
        <v>1439</v>
      </c>
      <c r="G23" s="555">
        <v>1460</v>
      </c>
      <c r="I23" s="555">
        <v>1481</v>
      </c>
      <c r="K23" s="562">
        <v>1531</v>
      </c>
      <c r="M23" s="563"/>
      <c r="N23" s="559"/>
    </row>
    <row r="24" spans="1:14" s="40" customFormat="1" x14ac:dyDescent="0.2">
      <c r="A24" s="560" t="s">
        <v>955</v>
      </c>
      <c r="B24" s="553"/>
      <c r="C24" s="565">
        <v>338</v>
      </c>
      <c r="D24" s="555"/>
      <c r="E24" s="566">
        <v>292</v>
      </c>
      <c r="G24" s="566">
        <v>338</v>
      </c>
      <c r="I24" s="566">
        <v>292</v>
      </c>
      <c r="K24" s="562">
        <v>292</v>
      </c>
      <c r="M24" s="563"/>
      <c r="N24" s="559"/>
    </row>
    <row r="25" spans="1:14" s="40" customFormat="1" x14ac:dyDescent="0.2">
      <c r="A25" s="560" t="s">
        <v>956</v>
      </c>
      <c r="B25" s="553"/>
      <c r="C25" s="565">
        <v>414</v>
      </c>
      <c r="D25" s="555"/>
      <c r="E25" s="566">
        <v>535</v>
      </c>
      <c r="G25" s="566">
        <v>414</v>
      </c>
      <c r="I25" s="566">
        <v>535</v>
      </c>
      <c r="K25" s="562">
        <v>535</v>
      </c>
      <c r="M25" s="563"/>
      <c r="N25" s="559"/>
    </row>
    <row r="26" spans="1:14" s="40" customFormat="1" x14ac:dyDescent="0.2">
      <c r="A26" s="560" t="s">
        <v>957</v>
      </c>
      <c r="B26" s="553"/>
      <c r="C26" s="561">
        <v>1677</v>
      </c>
      <c r="D26" s="555"/>
      <c r="E26" s="555">
        <v>1686</v>
      </c>
      <c r="G26" s="555">
        <v>1730</v>
      </c>
      <c r="I26" s="555">
        <v>1736</v>
      </c>
      <c r="K26" s="562">
        <v>1780</v>
      </c>
      <c r="M26" s="563"/>
      <c r="N26" s="559"/>
    </row>
    <row r="27" spans="1:14" s="40" customFormat="1" x14ac:dyDescent="0.2">
      <c r="A27" s="560" t="s">
        <v>958</v>
      </c>
      <c r="B27" s="553"/>
      <c r="C27" s="561">
        <v>15</v>
      </c>
      <c r="D27" s="555"/>
      <c r="E27" s="555">
        <v>32</v>
      </c>
      <c r="G27" s="555">
        <v>20</v>
      </c>
      <c r="I27" s="555">
        <v>32</v>
      </c>
      <c r="K27" s="562">
        <v>32</v>
      </c>
      <c r="M27" s="563"/>
      <c r="N27" s="559"/>
    </row>
    <row r="28" spans="1:14" s="40" customFormat="1" x14ac:dyDescent="0.2">
      <c r="A28" s="560" t="s">
        <v>959</v>
      </c>
      <c r="B28" s="553"/>
      <c r="C28" s="561">
        <v>40</v>
      </c>
      <c r="D28" s="555"/>
      <c r="E28" s="555">
        <v>69</v>
      </c>
      <c r="G28" s="555">
        <v>40</v>
      </c>
      <c r="I28" s="555">
        <v>60</v>
      </c>
      <c r="K28" s="562">
        <v>60</v>
      </c>
      <c r="M28" s="563"/>
      <c r="N28" s="559"/>
    </row>
    <row r="29" spans="1:14" s="40" customFormat="1" x14ac:dyDescent="0.2">
      <c r="A29" s="567" t="s">
        <v>3049</v>
      </c>
      <c r="B29" s="553"/>
      <c r="C29" s="561"/>
      <c r="D29" s="555"/>
      <c r="E29" s="555"/>
      <c r="G29" s="555"/>
      <c r="I29" s="555"/>
      <c r="K29" s="562"/>
      <c r="M29" s="563"/>
      <c r="N29" s="559"/>
    </row>
    <row r="30" spans="1:14" s="40" customFormat="1" x14ac:dyDescent="0.2">
      <c r="A30" s="568" t="s">
        <v>3050</v>
      </c>
      <c r="B30" s="553"/>
      <c r="C30" s="561"/>
      <c r="D30" s="555"/>
      <c r="E30" s="555"/>
      <c r="G30" s="555"/>
      <c r="I30" s="555">
        <v>1146</v>
      </c>
      <c r="J30" s="118"/>
      <c r="K30" s="555">
        <v>1175</v>
      </c>
      <c r="M30" s="563"/>
      <c r="N30" s="559"/>
    </row>
    <row r="31" spans="1:14" s="40" customFormat="1" x14ac:dyDescent="0.2">
      <c r="A31" s="569" t="s">
        <v>436</v>
      </c>
      <c r="B31" s="553"/>
      <c r="C31" s="561"/>
      <c r="D31" s="555"/>
      <c r="E31" s="555"/>
      <c r="G31" s="555"/>
      <c r="I31" s="555">
        <v>210</v>
      </c>
      <c r="J31" s="118"/>
      <c r="K31" s="555">
        <v>220</v>
      </c>
      <c r="M31" s="563"/>
      <c r="N31" s="559"/>
    </row>
    <row r="32" spans="1:14" s="40" customFormat="1" x14ac:dyDescent="0.2">
      <c r="A32" s="570" t="s">
        <v>3051</v>
      </c>
      <c r="B32" s="553"/>
      <c r="C32" s="561"/>
      <c r="D32" s="555"/>
      <c r="E32" s="555"/>
      <c r="G32" s="555"/>
      <c r="I32" s="555">
        <v>1994</v>
      </c>
      <c r="J32" s="118"/>
      <c r="K32" s="555">
        <v>1994</v>
      </c>
      <c r="M32" s="563"/>
      <c r="N32" s="559"/>
    </row>
    <row r="33" spans="1:14" s="40" customFormat="1" x14ac:dyDescent="0.2">
      <c r="A33" s="570" t="s">
        <v>3052</v>
      </c>
      <c r="B33" s="553"/>
      <c r="C33" s="561"/>
      <c r="D33" s="555"/>
      <c r="E33" s="555"/>
      <c r="G33" s="555"/>
      <c r="I33" s="555">
        <v>2</v>
      </c>
      <c r="J33" s="118"/>
      <c r="K33" s="555">
        <v>3</v>
      </c>
      <c r="M33" s="563"/>
      <c r="N33" s="559"/>
    </row>
    <row r="34" spans="1:14" s="40" customFormat="1" x14ac:dyDescent="0.2">
      <c r="A34" s="570" t="s">
        <v>960</v>
      </c>
      <c r="B34" s="553"/>
      <c r="C34" s="561"/>
      <c r="D34" s="555"/>
      <c r="E34" s="555"/>
      <c r="G34" s="555"/>
      <c r="I34" s="555">
        <v>17</v>
      </c>
      <c r="J34" s="118"/>
      <c r="K34" s="555">
        <v>20</v>
      </c>
      <c r="M34" s="563"/>
      <c r="N34" s="559"/>
    </row>
    <row r="35" spans="1:14" s="40" customFormat="1" x14ac:dyDescent="0.2">
      <c r="A35" s="567" t="s">
        <v>3053</v>
      </c>
      <c r="B35" s="553"/>
      <c r="C35" s="561"/>
      <c r="D35" s="555"/>
      <c r="E35" s="555"/>
      <c r="G35" s="555"/>
      <c r="I35" s="555"/>
      <c r="J35" s="118"/>
      <c r="K35" s="555"/>
      <c r="M35" s="563"/>
      <c r="N35" s="559"/>
    </row>
    <row r="36" spans="1:14" s="40" customFormat="1" x14ac:dyDescent="0.2">
      <c r="A36" s="568" t="s">
        <v>3054</v>
      </c>
      <c r="B36" s="553"/>
      <c r="C36" s="561"/>
      <c r="D36" s="555"/>
      <c r="E36" s="555"/>
      <c r="G36" s="555"/>
      <c r="I36" s="571">
        <v>671</v>
      </c>
      <c r="J36" s="118"/>
      <c r="K36" s="555">
        <v>715</v>
      </c>
      <c r="M36" s="563"/>
      <c r="N36" s="559"/>
    </row>
    <row r="37" spans="1:14" s="40" customFormat="1" x14ac:dyDescent="0.2">
      <c r="A37" s="572" t="s">
        <v>3055</v>
      </c>
      <c r="B37" s="553"/>
      <c r="C37" s="561"/>
      <c r="D37" s="555"/>
      <c r="E37" s="555"/>
      <c r="G37" s="555"/>
      <c r="I37" s="571">
        <v>76</v>
      </c>
      <c r="J37" s="118"/>
      <c r="K37" s="555">
        <v>84</v>
      </c>
      <c r="M37" s="563"/>
      <c r="N37" s="559"/>
    </row>
    <row r="38" spans="1:14" s="40" customFormat="1" x14ac:dyDescent="0.2">
      <c r="A38" s="570" t="s">
        <v>3056</v>
      </c>
      <c r="B38" s="553"/>
      <c r="C38" s="561"/>
      <c r="D38" s="555"/>
      <c r="E38" s="555"/>
      <c r="G38" s="555"/>
      <c r="I38" s="571">
        <v>1</v>
      </c>
      <c r="J38" s="118"/>
      <c r="K38" s="555">
        <v>1</v>
      </c>
      <c r="M38" s="563"/>
      <c r="N38" s="559"/>
    </row>
    <row r="39" spans="1:14" s="40" customFormat="1" x14ac:dyDescent="0.2">
      <c r="A39" s="570" t="s">
        <v>3057</v>
      </c>
      <c r="B39" s="553"/>
      <c r="C39" s="561"/>
      <c r="D39" s="555"/>
      <c r="E39" s="555"/>
      <c r="G39" s="555"/>
      <c r="I39" s="571">
        <v>18</v>
      </c>
      <c r="J39" s="118"/>
      <c r="K39" s="555">
        <v>25</v>
      </c>
      <c r="M39" s="563"/>
      <c r="N39" s="559"/>
    </row>
    <row r="40" spans="1:14" s="40" customFormat="1" x14ac:dyDescent="0.2">
      <c r="A40" s="570" t="s">
        <v>3058</v>
      </c>
      <c r="B40" s="553"/>
      <c r="C40" s="561"/>
      <c r="D40" s="555"/>
      <c r="E40" s="555"/>
      <c r="G40" s="555"/>
      <c r="I40" s="571">
        <v>236</v>
      </c>
      <c r="J40" s="118"/>
      <c r="K40" s="555">
        <v>250</v>
      </c>
      <c r="M40" s="563"/>
      <c r="N40" s="559"/>
    </row>
    <row r="41" spans="1:14" s="40" customFormat="1" x14ac:dyDescent="0.2">
      <c r="A41" s="569" t="s">
        <v>436</v>
      </c>
      <c r="B41" s="553"/>
      <c r="C41" s="561"/>
      <c r="D41" s="555"/>
      <c r="E41" s="555"/>
      <c r="G41" s="555"/>
      <c r="I41" s="571">
        <v>245</v>
      </c>
      <c r="J41" s="118"/>
      <c r="K41" s="555">
        <v>280</v>
      </c>
      <c r="M41" s="563"/>
      <c r="N41" s="559"/>
    </row>
    <row r="42" spans="1:14" s="40" customFormat="1" x14ac:dyDescent="0.2">
      <c r="A42" s="570" t="s">
        <v>3051</v>
      </c>
      <c r="B42" s="553"/>
      <c r="C42" s="561"/>
      <c r="D42" s="555"/>
      <c r="E42" s="555"/>
      <c r="G42" s="555"/>
      <c r="I42" s="571">
        <v>3457</v>
      </c>
      <c r="J42" s="118"/>
      <c r="K42" s="555">
        <v>3500</v>
      </c>
      <c r="M42" s="563"/>
      <c r="N42" s="559"/>
    </row>
    <row r="43" spans="1:14" s="40" customFormat="1" x14ac:dyDescent="0.2">
      <c r="A43" s="570" t="s">
        <v>3052</v>
      </c>
      <c r="B43" s="553"/>
      <c r="C43" s="561"/>
      <c r="D43" s="555"/>
      <c r="E43" s="555"/>
      <c r="G43" s="555"/>
      <c r="I43" s="555">
        <v>4</v>
      </c>
      <c r="J43" s="118"/>
      <c r="K43" s="555">
        <v>6</v>
      </c>
      <c r="M43" s="563"/>
      <c r="N43" s="559"/>
    </row>
    <row r="44" spans="1:14" s="40" customFormat="1" x14ac:dyDescent="0.2">
      <c r="A44" s="570" t="s">
        <v>3059</v>
      </c>
      <c r="B44" s="553"/>
      <c r="C44" s="561"/>
      <c r="D44" s="555"/>
      <c r="E44" s="555"/>
      <c r="G44" s="555"/>
      <c r="I44" s="555">
        <v>58</v>
      </c>
      <c r="J44" s="118"/>
      <c r="K44" s="555">
        <v>65</v>
      </c>
      <c r="M44" s="563"/>
      <c r="N44" s="559"/>
    </row>
    <row r="45" spans="1:14" s="37" customFormat="1" x14ac:dyDescent="0.2">
      <c r="A45" s="35" t="s">
        <v>961</v>
      </c>
      <c r="B45" s="36"/>
      <c r="C45" s="573"/>
      <c r="D45" s="574"/>
      <c r="E45" s="573"/>
      <c r="K45" s="575"/>
      <c r="M45" s="551"/>
      <c r="N45" s="551"/>
    </row>
    <row r="46" spans="1:14" s="40" customFormat="1" x14ac:dyDescent="0.2">
      <c r="A46" s="41" t="s">
        <v>962</v>
      </c>
      <c r="B46" s="39"/>
      <c r="C46" s="555">
        <v>217</v>
      </c>
      <c r="D46" s="561"/>
      <c r="E46" s="555">
        <v>214</v>
      </c>
      <c r="G46" s="42">
        <v>223</v>
      </c>
      <c r="I46" s="555">
        <v>207</v>
      </c>
      <c r="K46" s="555">
        <v>207</v>
      </c>
      <c r="M46" s="563"/>
      <c r="N46" s="559"/>
    </row>
    <row r="47" spans="1:14" s="40" customFormat="1" x14ac:dyDescent="0.2">
      <c r="A47" s="41" t="s">
        <v>963</v>
      </c>
      <c r="B47" s="39"/>
      <c r="C47" s="555"/>
      <c r="D47" s="561"/>
      <c r="E47" s="555"/>
      <c r="M47" s="576"/>
      <c r="N47" s="559"/>
    </row>
    <row r="48" spans="1:14" s="40" customFormat="1" x14ac:dyDescent="0.2">
      <c r="A48" s="90" t="s">
        <v>964</v>
      </c>
      <c r="B48" s="39"/>
      <c r="C48" s="557">
        <v>4710000</v>
      </c>
      <c r="D48" s="558"/>
      <c r="E48" s="557">
        <v>4732000</v>
      </c>
      <c r="G48" s="557">
        <v>4735000</v>
      </c>
      <c r="I48" s="436">
        <v>4729000</v>
      </c>
      <c r="K48" s="76">
        <v>4750000</v>
      </c>
      <c r="M48" s="558"/>
      <c r="N48" s="559"/>
    </row>
    <row r="49" spans="1:14" s="40" customFormat="1" x14ac:dyDescent="0.2">
      <c r="A49" s="90" t="s">
        <v>965</v>
      </c>
      <c r="B49" s="39"/>
      <c r="C49" s="557">
        <v>72</v>
      </c>
      <c r="D49" s="558"/>
      <c r="E49" s="436">
        <v>72</v>
      </c>
      <c r="G49" s="436">
        <v>72</v>
      </c>
      <c r="I49" s="436">
        <v>71</v>
      </c>
      <c r="K49" s="577">
        <v>71</v>
      </c>
      <c r="M49" s="558"/>
      <c r="N49" s="559"/>
    </row>
    <row r="50" spans="1:14" s="40" customFormat="1" x14ac:dyDescent="0.2">
      <c r="A50" s="578" t="s">
        <v>966</v>
      </c>
      <c r="B50" s="579"/>
      <c r="C50" s="557">
        <v>100</v>
      </c>
      <c r="D50" s="558"/>
      <c r="E50" s="436">
        <v>100</v>
      </c>
      <c r="G50" s="436">
        <v>100</v>
      </c>
      <c r="I50" s="436">
        <v>100</v>
      </c>
      <c r="K50" s="577">
        <v>100</v>
      </c>
      <c r="M50" s="558"/>
      <c r="N50" s="559"/>
    </row>
    <row r="51" spans="1:14" s="40" customFormat="1" x14ac:dyDescent="0.2">
      <c r="A51" s="578" t="s">
        <v>967</v>
      </c>
      <c r="B51" s="579"/>
      <c r="C51" s="557">
        <v>100</v>
      </c>
      <c r="D51" s="558"/>
      <c r="E51" s="436">
        <v>100</v>
      </c>
      <c r="G51" s="436">
        <v>100</v>
      </c>
      <c r="I51" s="436">
        <v>50</v>
      </c>
      <c r="K51" s="76">
        <v>50</v>
      </c>
      <c r="M51" s="558"/>
      <c r="N51" s="559"/>
    </row>
    <row r="52" spans="1:14" s="37" customFormat="1" x14ac:dyDescent="0.2">
      <c r="A52" s="549" t="s">
        <v>968</v>
      </c>
      <c r="B52" s="579"/>
      <c r="C52" s="436"/>
      <c r="D52" s="559"/>
      <c r="M52" s="558"/>
      <c r="N52" s="559"/>
    </row>
    <row r="53" spans="1:14" s="40" customFormat="1" x14ac:dyDescent="0.2">
      <c r="A53" s="578" t="s">
        <v>969</v>
      </c>
      <c r="B53" s="579"/>
      <c r="C53" s="580">
        <v>502000000</v>
      </c>
      <c r="D53" s="581"/>
      <c r="E53" s="581">
        <v>302000000</v>
      </c>
      <c r="G53" s="582">
        <v>252000000</v>
      </c>
      <c r="I53" s="582">
        <v>252000000</v>
      </c>
      <c r="K53" s="583">
        <v>252000000</v>
      </c>
      <c r="M53" s="584"/>
      <c r="N53" s="559"/>
    </row>
    <row r="54" spans="1:14" s="40" customFormat="1" x14ac:dyDescent="0.2">
      <c r="A54" s="578" t="s">
        <v>970</v>
      </c>
      <c r="B54" s="579"/>
      <c r="C54" s="580">
        <v>127300000</v>
      </c>
      <c r="D54" s="581"/>
      <c r="E54" s="581">
        <v>188000000</v>
      </c>
      <c r="G54" s="582">
        <v>218000000</v>
      </c>
      <c r="I54" s="582">
        <v>218000000</v>
      </c>
      <c r="K54" s="583">
        <v>218000000</v>
      </c>
      <c r="M54" s="584"/>
      <c r="N54" s="559"/>
    </row>
    <row r="55" spans="1:14" s="40" customFormat="1" x14ac:dyDescent="0.2">
      <c r="A55" s="578" t="s">
        <v>971</v>
      </c>
      <c r="B55" s="579"/>
      <c r="C55" s="580">
        <v>166600000</v>
      </c>
      <c r="D55" s="581"/>
      <c r="E55" s="581">
        <v>166600000</v>
      </c>
      <c r="G55" s="582">
        <v>166600000</v>
      </c>
      <c r="I55" s="582">
        <v>166600000</v>
      </c>
      <c r="K55" s="583">
        <v>166600000</v>
      </c>
      <c r="M55" s="584"/>
      <c r="N55" s="559"/>
    </row>
    <row r="56" spans="1:14" s="40" customFormat="1" x14ac:dyDescent="0.2">
      <c r="A56" s="578" t="s">
        <v>3060</v>
      </c>
      <c r="B56" s="579"/>
      <c r="C56" s="580">
        <v>24502770</v>
      </c>
      <c r="D56" s="581"/>
      <c r="E56" s="583">
        <v>24567934</v>
      </c>
      <c r="G56" s="582">
        <v>24654000</v>
      </c>
      <c r="I56" s="583">
        <v>24654000</v>
      </c>
      <c r="K56" s="583">
        <v>24654000</v>
      </c>
      <c r="M56" s="584"/>
      <c r="N56" s="559"/>
    </row>
    <row r="57" spans="1:14" s="40" customFormat="1" x14ac:dyDescent="0.2">
      <c r="A57" s="585" t="s">
        <v>972</v>
      </c>
      <c r="B57" s="579"/>
      <c r="C57" s="580">
        <f>SUM(C53:C56)</f>
        <v>820402770</v>
      </c>
      <c r="D57" s="580"/>
      <c r="E57" s="581">
        <f>SUM(E53:E56)</f>
        <v>681167934</v>
      </c>
      <c r="G57" s="582">
        <v>661254000</v>
      </c>
      <c r="I57" s="582">
        <f>SUM(I53:I56)</f>
        <v>661254000</v>
      </c>
      <c r="K57" s="582">
        <f>SUM(K53:K56)</f>
        <v>661254000</v>
      </c>
      <c r="M57" s="586"/>
      <c r="N57" s="436"/>
    </row>
    <row r="58" spans="1:14" s="40" customFormat="1" x14ac:dyDescent="0.2">
      <c r="A58" s="585"/>
      <c r="B58" s="579"/>
      <c r="C58" s="559"/>
      <c r="D58" s="559"/>
      <c r="M58" s="559"/>
      <c r="N58" s="559"/>
    </row>
    <row r="59" spans="1:14" s="37" customFormat="1" x14ac:dyDescent="0.2">
      <c r="A59" s="549" t="s">
        <v>194</v>
      </c>
      <c r="B59" s="550"/>
      <c r="C59" s="551"/>
      <c r="D59" s="551"/>
      <c r="M59" s="551"/>
      <c r="N59" s="551"/>
    </row>
    <row r="60" spans="1:14" s="37" customFormat="1" x14ac:dyDescent="0.2">
      <c r="A60" s="549" t="s">
        <v>973</v>
      </c>
      <c r="B60" s="550"/>
      <c r="C60" s="551"/>
      <c r="D60" s="551"/>
      <c r="M60" s="551"/>
      <c r="N60" s="551"/>
    </row>
    <row r="61" spans="1:14" s="40" customFormat="1" x14ac:dyDescent="0.2">
      <c r="A61" s="587" t="s">
        <v>974</v>
      </c>
      <c r="B61" s="579"/>
      <c r="C61" s="559"/>
      <c r="D61" s="559"/>
      <c r="M61" s="559"/>
      <c r="N61" s="559"/>
    </row>
    <row r="62" spans="1:14" s="40" customFormat="1" x14ac:dyDescent="0.2">
      <c r="A62" s="578" t="s">
        <v>197</v>
      </c>
      <c r="B62" s="579"/>
      <c r="C62" s="557">
        <f>92+52</f>
        <v>144</v>
      </c>
      <c r="D62" s="557"/>
      <c r="E62" s="77">
        <f>95+52</f>
        <v>147</v>
      </c>
      <c r="G62" s="77">
        <v>96</v>
      </c>
      <c r="I62" s="77">
        <v>161</v>
      </c>
      <c r="K62" s="77">
        <v>161</v>
      </c>
      <c r="M62" s="558"/>
      <c r="N62" s="559"/>
    </row>
    <row r="63" spans="1:14" s="40" customFormat="1" x14ac:dyDescent="0.2">
      <c r="A63" s="578" t="s">
        <v>261</v>
      </c>
      <c r="B63" s="579"/>
      <c r="C63" s="557">
        <v>77</v>
      </c>
      <c r="D63" s="557"/>
      <c r="E63" s="77">
        <v>77</v>
      </c>
      <c r="G63" s="77">
        <v>78</v>
      </c>
      <c r="I63" s="77">
        <v>80</v>
      </c>
      <c r="K63" s="77">
        <v>81</v>
      </c>
      <c r="M63" s="558"/>
      <c r="N63" s="559"/>
    </row>
    <row r="64" spans="1:14" s="40" customFormat="1" x14ac:dyDescent="0.2">
      <c r="A64" s="578" t="s">
        <v>262</v>
      </c>
      <c r="B64" s="579"/>
      <c r="C64" s="557">
        <v>33</v>
      </c>
      <c r="D64" s="557"/>
      <c r="E64" s="77">
        <v>31</v>
      </c>
      <c r="F64" s="77"/>
      <c r="G64" s="77">
        <v>29</v>
      </c>
      <c r="I64" s="77">
        <v>31</v>
      </c>
      <c r="K64" s="77">
        <v>31</v>
      </c>
      <c r="M64" s="558"/>
      <c r="N64" s="559"/>
    </row>
    <row r="65" spans="1:17" s="40" customFormat="1" x14ac:dyDescent="0.2">
      <c r="A65" s="578" t="s">
        <v>975</v>
      </c>
      <c r="B65" s="579"/>
      <c r="C65" s="557">
        <f>SUM(C62:C64)</f>
        <v>254</v>
      </c>
      <c r="D65" s="557"/>
      <c r="E65" s="77">
        <f>SUM(E62:E64)</f>
        <v>255</v>
      </c>
      <c r="G65" s="77">
        <v>203</v>
      </c>
      <c r="I65" s="77">
        <v>272</v>
      </c>
      <c r="K65" s="77">
        <v>273</v>
      </c>
      <c r="M65" s="558"/>
      <c r="N65" s="559"/>
    </row>
    <row r="66" spans="1:17" s="40" customFormat="1" x14ac:dyDescent="0.2">
      <c r="A66" s="587" t="s">
        <v>976</v>
      </c>
      <c r="B66" s="579"/>
      <c r="C66" s="588"/>
      <c r="D66" s="588"/>
      <c r="M66" s="559"/>
      <c r="N66" s="559"/>
    </row>
    <row r="67" spans="1:17" s="40" customFormat="1" x14ac:dyDescent="0.2">
      <c r="A67" s="578" t="s">
        <v>942</v>
      </c>
      <c r="B67" s="579"/>
      <c r="C67" s="557">
        <f>152+52</f>
        <v>204</v>
      </c>
      <c r="D67" s="557"/>
      <c r="E67" s="77">
        <f>160+52</f>
        <v>212</v>
      </c>
      <c r="F67" s="77"/>
      <c r="G67" s="77">
        <v>160</v>
      </c>
      <c r="I67" s="77">
        <v>224</v>
      </c>
      <c r="K67" s="77">
        <v>225</v>
      </c>
      <c r="M67" s="558"/>
      <c r="N67" s="559"/>
    </row>
    <row r="68" spans="1:17" s="40" customFormat="1" x14ac:dyDescent="0.2">
      <c r="A68" s="578" t="s">
        <v>961</v>
      </c>
      <c r="B68" s="579"/>
      <c r="C68" s="557">
        <v>50</v>
      </c>
      <c r="D68" s="557"/>
      <c r="E68" s="77">
        <v>43</v>
      </c>
      <c r="F68" s="77"/>
      <c r="G68" s="77">
        <v>43</v>
      </c>
      <c r="I68" s="77">
        <v>48</v>
      </c>
      <c r="K68" s="77">
        <v>48</v>
      </c>
      <c r="M68" s="558"/>
      <c r="N68" s="559"/>
    </row>
    <row r="69" spans="1:17" s="40" customFormat="1" x14ac:dyDescent="0.2">
      <c r="A69" s="578" t="s">
        <v>975</v>
      </c>
      <c r="B69" s="579"/>
      <c r="C69" s="557">
        <f>SUM(C67:C68)</f>
        <v>254</v>
      </c>
      <c r="D69" s="557"/>
      <c r="E69" s="77">
        <f>SUM(E67:E68)</f>
        <v>255</v>
      </c>
      <c r="F69" s="77"/>
      <c r="G69" s="77">
        <v>203</v>
      </c>
      <c r="I69" s="77">
        <v>272</v>
      </c>
      <c r="K69" s="77">
        <v>273</v>
      </c>
      <c r="M69" s="558"/>
      <c r="N69" s="559"/>
    </row>
    <row r="70" spans="1:17" s="37" customFormat="1" x14ac:dyDescent="0.2">
      <c r="A70" s="549"/>
      <c r="B70" s="550"/>
      <c r="C70" s="551"/>
      <c r="D70" s="551"/>
      <c r="M70" s="589"/>
      <c r="N70" s="551"/>
    </row>
    <row r="71" spans="1:17" s="48" customFormat="1" x14ac:dyDescent="0.2">
      <c r="A71" s="590"/>
      <c r="B71" s="591"/>
      <c r="C71" s="592"/>
      <c r="D71" s="592"/>
      <c r="M71" s="592"/>
      <c r="N71" s="592"/>
    </row>
    <row r="72" spans="1:17" s="48" customFormat="1" x14ac:dyDescent="0.2">
      <c r="A72" s="593" t="s">
        <v>200</v>
      </c>
      <c r="B72" s="594"/>
      <c r="C72" s="595"/>
      <c r="D72" s="596"/>
      <c r="E72" s="597"/>
      <c r="F72" s="596"/>
      <c r="G72" s="597"/>
      <c r="H72" s="596"/>
      <c r="I72" s="597"/>
      <c r="J72" s="596"/>
      <c r="K72" s="597"/>
      <c r="L72" s="596"/>
      <c r="M72" s="595"/>
      <c r="N72" s="596"/>
    </row>
    <row r="73" spans="1:17" ht="25.5" customHeight="1" x14ac:dyDescent="0.2">
      <c r="A73" s="1782" t="s">
        <v>977</v>
      </c>
      <c r="B73" s="1736"/>
      <c r="C73" s="1737"/>
      <c r="D73" s="1736"/>
      <c r="E73" s="1737"/>
      <c r="F73" s="1736"/>
      <c r="G73" s="1737"/>
      <c r="H73" s="1736"/>
      <c r="I73" s="1737"/>
      <c r="J73" s="1736"/>
      <c r="K73" s="1737"/>
      <c r="L73" s="1736"/>
      <c r="M73" s="1737"/>
      <c r="N73" s="1736"/>
      <c r="O73" s="54"/>
      <c r="P73" s="54"/>
      <c r="Q73" s="951"/>
    </row>
    <row r="74" spans="1:17" ht="6" customHeight="1" x14ac:dyDescent="0.2">
      <c r="A74" s="598"/>
      <c r="B74" s="137"/>
      <c r="C74" s="138"/>
      <c r="D74" s="137"/>
      <c r="E74" s="138"/>
      <c r="F74" s="137"/>
      <c r="G74" s="138"/>
      <c r="H74" s="137"/>
      <c r="I74" s="138"/>
      <c r="J74" s="137"/>
      <c r="K74" s="138"/>
      <c r="L74" s="137"/>
      <c r="M74" s="138"/>
      <c r="N74" s="137"/>
      <c r="O74" s="54"/>
      <c r="P74" s="54"/>
      <c r="Q74" s="951"/>
    </row>
    <row r="75" spans="1:17" ht="28.5" customHeight="1" x14ac:dyDescent="0.2">
      <c r="A75" s="1782" t="s">
        <v>978</v>
      </c>
      <c r="B75" s="1736"/>
      <c r="C75" s="1737"/>
      <c r="D75" s="1736"/>
      <c r="E75" s="1737"/>
      <c r="F75" s="1736"/>
      <c r="G75" s="1737"/>
      <c r="H75" s="1736"/>
      <c r="I75" s="1737"/>
      <c r="J75" s="1736"/>
      <c r="K75" s="1737"/>
      <c r="L75" s="1736"/>
      <c r="M75" s="1737"/>
      <c r="N75" s="1736"/>
      <c r="O75" s="54"/>
      <c r="P75" s="54"/>
      <c r="Q75" s="951"/>
    </row>
    <row r="76" spans="1:17" ht="16.5" customHeight="1" x14ac:dyDescent="0.2">
      <c r="A76" s="1612" t="s">
        <v>3061</v>
      </c>
      <c r="B76" s="137"/>
      <c r="C76" s="138"/>
      <c r="D76" s="137"/>
      <c r="E76" s="138"/>
      <c r="F76" s="137"/>
      <c r="G76" s="138"/>
      <c r="H76" s="137"/>
      <c r="I76" s="138"/>
      <c r="J76" s="137"/>
      <c r="K76" s="138"/>
      <c r="L76" s="137"/>
      <c r="M76" s="138"/>
      <c r="N76" s="137"/>
      <c r="O76" s="54"/>
      <c r="P76" s="54"/>
      <c r="Q76" s="951"/>
    </row>
    <row r="77" spans="1:17" ht="20.25" customHeight="1" x14ac:dyDescent="0.2">
      <c r="A77" s="1783" t="s">
        <v>3062</v>
      </c>
      <c r="B77" s="1784"/>
      <c r="C77" s="1785"/>
      <c r="D77" s="1784"/>
      <c r="E77" s="1785"/>
      <c r="F77" s="1784"/>
      <c r="G77" s="1785"/>
      <c r="H77" s="1784"/>
      <c r="I77" s="1785"/>
      <c r="J77" s="1784"/>
      <c r="K77" s="1785"/>
      <c r="L77" s="1784"/>
      <c r="M77" s="1785"/>
      <c r="N77" s="1784"/>
      <c r="O77" s="54"/>
      <c r="P77" s="54"/>
    </row>
    <row r="78" spans="1:17" x14ac:dyDescent="0.2">
      <c r="A78" s="1735"/>
      <c r="B78" s="1736"/>
      <c r="C78" s="1737"/>
      <c r="D78" s="1736"/>
      <c r="E78" s="1737"/>
      <c r="F78" s="1736"/>
      <c r="G78" s="1737"/>
      <c r="H78" s="1736"/>
      <c r="I78" s="1737"/>
      <c r="J78" s="1736"/>
      <c r="K78" s="1737"/>
      <c r="L78" s="1736"/>
      <c r="M78" s="1737"/>
      <c r="N78" s="1736"/>
      <c r="O78" s="54"/>
      <c r="P78" s="54"/>
    </row>
    <row r="79" spans="1:17" x14ac:dyDescent="0.2">
      <c r="A79" s="1735"/>
      <c r="B79" s="1736"/>
      <c r="C79" s="1737"/>
      <c r="D79" s="1736"/>
      <c r="E79" s="1737"/>
      <c r="F79" s="1736"/>
      <c r="G79" s="1737"/>
      <c r="H79" s="1736"/>
      <c r="I79" s="1737"/>
      <c r="J79" s="1736"/>
      <c r="K79" s="1737"/>
      <c r="L79" s="1736"/>
      <c r="M79" s="1737"/>
      <c r="N79" s="1736"/>
      <c r="O79" s="54"/>
      <c r="P79" s="54"/>
    </row>
    <row r="80" spans="1:17" x14ac:dyDescent="0.2">
      <c r="A80" s="1735"/>
      <c r="B80" s="1736"/>
      <c r="C80" s="1737"/>
      <c r="D80" s="1736"/>
      <c r="E80" s="1737"/>
      <c r="F80" s="1736"/>
      <c r="G80" s="1737"/>
      <c r="H80" s="1736"/>
      <c r="I80" s="1737"/>
      <c r="J80" s="1736"/>
      <c r="K80" s="1737"/>
      <c r="L80" s="1736"/>
      <c r="M80" s="1737"/>
      <c r="N80" s="1736"/>
      <c r="O80" s="54"/>
      <c r="P80" s="54"/>
    </row>
    <row r="81" spans="1:17" x14ac:dyDescent="0.2">
      <c r="A81" s="1735"/>
      <c r="B81" s="1736"/>
      <c r="C81" s="1737"/>
      <c r="D81" s="1736"/>
      <c r="E81" s="1737"/>
      <c r="F81" s="1736"/>
      <c r="G81" s="1737"/>
      <c r="H81" s="1736"/>
      <c r="I81" s="1737"/>
      <c r="J81" s="1736"/>
      <c r="K81" s="1737"/>
      <c r="L81" s="1736"/>
      <c r="M81" s="1737"/>
      <c r="N81" s="1736"/>
      <c r="O81" s="54"/>
      <c r="P81" s="54"/>
    </row>
    <row r="82" spans="1:17" x14ac:dyDescent="0.2">
      <c r="A82" s="1735"/>
      <c r="B82" s="1736"/>
      <c r="C82" s="1737"/>
      <c r="D82" s="1736"/>
      <c r="E82" s="1737"/>
      <c r="F82" s="1736"/>
      <c r="G82" s="1737"/>
      <c r="H82" s="1736"/>
      <c r="I82" s="1737"/>
      <c r="J82" s="1736"/>
      <c r="K82" s="1737"/>
      <c r="L82" s="1736"/>
      <c r="M82" s="1737"/>
      <c r="N82" s="1736"/>
      <c r="O82" s="54"/>
      <c r="P82" s="54"/>
    </row>
    <row r="83" spans="1:17" x14ac:dyDescent="0.2">
      <c r="A83" s="55"/>
      <c r="B83" s="54"/>
      <c r="C83" s="56"/>
      <c r="D83" s="54"/>
      <c r="E83" s="56"/>
      <c r="F83" s="54"/>
      <c r="G83" s="56"/>
      <c r="H83" s="54"/>
      <c r="I83" s="56"/>
      <c r="J83" s="54"/>
      <c r="K83" s="56"/>
      <c r="L83" s="54"/>
      <c r="M83" s="56"/>
      <c r="N83" s="54"/>
      <c r="O83" s="54"/>
      <c r="P83" s="54"/>
    </row>
    <row r="84" spans="1:17" x14ac:dyDescent="0.2">
      <c r="A84" s="55"/>
      <c r="B84" s="54"/>
      <c r="C84" s="54"/>
      <c r="D84" s="54"/>
      <c r="E84" s="54"/>
      <c r="F84" s="54"/>
      <c r="G84" s="54"/>
      <c r="H84" s="54"/>
      <c r="I84" s="54"/>
      <c r="J84" s="54"/>
      <c r="K84" s="54"/>
      <c r="L84" s="54"/>
      <c r="M84" s="54"/>
      <c r="N84" s="54"/>
      <c r="O84" s="54"/>
      <c r="P84" s="54"/>
    </row>
    <row r="85" spans="1:17" x14ac:dyDescent="0.2">
      <c r="A85" s="55"/>
      <c r="B85" s="54"/>
      <c r="C85" s="56"/>
      <c r="D85" s="54"/>
      <c r="E85" s="56"/>
      <c r="F85" s="54"/>
      <c r="G85" s="56"/>
      <c r="H85" s="54"/>
      <c r="I85" s="56"/>
      <c r="J85" s="54"/>
      <c r="K85" s="56"/>
      <c r="L85" s="54"/>
      <c r="M85" s="56"/>
      <c r="N85" s="54"/>
      <c r="O85" s="54"/>
      <c r="P85" s="54"/>
    </row>
    <row r="86" spans="1:17" x14ac:dyDescent="0.2">
      <c r="A86" s="55"/>
      <c r="B86" s="54"/>
      <c r="C86" s="54"/>
      <c r="D86" s="54"/>
      <c r="E86" s="54"/>
      <c r="F86" s="54"/>
      <c r="G86" s="54"/>
      <c r="H86" s="54"/>
      <c r="I86" s="54"/>
      <c r="J86" s="54"/>
      <c r="K86" s="54"/>
      <c r="L86" s="54"/>
      <c r="M86" s="54"/>
      <c r="N86" s="54"/>
      <c r="O86" s="54"/>
      <c r="P86" s="54"/>
    </row>
    <row r="87" spans="1:17" x14ac:dyDescent="0.2">
      <c r="A87" s="55"/>
      <c r="B87" s="54"/>
      <c r="C87" s="56"/>
      <c r="D87" s="54"/>
      <c r="E87" s="56"/>
      <c r="F87" s="54"/>
      <c r="G87" s="56"/>
      <c r="H87" s="54"/>
      <c r="I87" s="56"/>
      <c r="J87" s="54"/>
      <c r="K87" s="56"/>
      <c r="L87" s="54"/>
      <c r="M87" s="56"/>
      <c r="N87" s="54"/>
      <c r="O87" s="54"/>
      <c r="P87" s="54"/>
    </row>
    <row r="88" spans="1:17" x14ac:dyDescent="0.2">
      <c r="A88" s="55"/>
      <c r="B88" s="54"/>
      <c r="C88" s="54"/>
      <c r="D88" s="54"/>
      <c r="E88" s="54"/>
      <c r="F88" s="54"/>
      <c r="G88" s="54"/>
      <c r="H88" s="54"/>
      <c r="I88" s="54"/>
      <c r="J88" s="54"/>
      <c r="K88" s="54"/>
      <c r="L88" s="54"/>
      <c r="M88" s="54"/>
      <c r="N88" s="54"/>
      <c r="O88" s="54"/>
      <c r="P88" s="54"/>
    </row>
    <row r="89" spans="1:17" x14ac:dyDescent="0.2">
      <c r="A89" s="55"/>
      <c r="B89" s="54"/>
      <c r="C89" s="54"/>
      <c r="D89" s="54"/>
      <c r="E89" s="54"/>
      <c r="F89" s="54"/>
      <c r="G89" s="54"/>
      <c r="H89" s="54"/>
      <c r="I89" s="54"/>
      <c r="J89" s="54"/>
      <c r="K89" s="54"/>
      <c r="L89" s="54"/>
      <c r="M89" s="54"/>
      <c r="N89" s="54"/>
      <c r="O89" s="54"/>
      <c r="P89" s="54"/>
    </row>
    <row r="90" spans="1:17" x14ac:dyDescent="0.2">
      <c r="A90" s="55"/>
      <c r="B90" s="54"/>
      <c r="C90" s="54"/>
      <c r="D90" s="54"/>
      <c r="E90" s="54"/>
      <c r="F90" s="54"/>
      <c r="G90" s="54"/>
      <c r="H90" s="54"/>
      <c r="I90" s="54"/>
      <c r="J90" s="54"/>
      <c r="K90" s="54"/>
      <c r="L90" s="54"/>
      <c r="M90" s="54"/>
      <c r="N90" s="54"/>
      <c r="O90" s="54"/>
      <c r="P90" s="54"/>
      <c r="Q90" s="57"/>
    </row>
    <row r="91" spans="1:17" x14ac:dyDescent="0.2">
      <c r="B91" s="25"/>
      <c r="C91" s="25"/>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c r="C118" s="25"/>
      <c r="D118" s="25"/>
      <c r="E118" s="58"/>
      <c r="F118" s="58"/>
      <c r="G118" s="58"/>
      <c r="H118" s="58"/>
    </row>
    <row r="119" spans="2:8" x14ac:dyDescent="0.2">
      <c r="B119" s="25"/>
      <c r="C119" s="25"/>
      <c r="D119" s="25"/>
      <c r="E119" s="58"/>
      <c r="F119" s="58"/>
      <c r="G119" s="58"/>
      <c r="H119" s="58"/>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sheetData>
  <mergeCells count="9">
    <mergeCell ref="A81:N81"/>
    <mergeCell ref="A82:N82"/>
    <mergeCell ref="K2:K3"/>
    <mergeCell ref="A73:N73"/>
    <mergeCell ref="A75:N75"/>
    <mergeCell ref="A77:N77"/>
    <mergeCell ref="A78:N78"/>
    <mergeCell ref="A79:N79"/>
    <mergeCell ref="A80:N80"/>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3" fitToHeight="0" pageOrder="overThenDown" orientation="portrait"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6">
    <pageSetUpPr fitToPage="1"/>
  </sheetPr>
  <dimension ref="A1:T18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32.140625" style="282" customWidth="1"/>
    <col min="2" max="2" width="27" style="26" customWidth="1"/>
    <col min="3" max="3" width="16.140625" style="61" customWidth="1"/>
    <col min="4" max="4" width="3" style="61" customWidth="1"/>
    <col min="5" max="5" width="15" style="59" customWidth="1"/>
    <col min="6" max="6" width="2.85546875" style="60" customWidth="1"/>
    <col min="7" max="7" width="13.7109375" style="59" hidden="1" customWidth="1"/>
    <col min="8" max="8" width="3.140625" style="60" hidden="1" customWidth="1"/>
    <col min="9" max="9" width="14.5703125" style="59" customWidth="1"/>
    <col min="10" max="10" width="3.140625" style="60" bestFit="1" customWidth="1"/>
    <col min="11" max="11" width="15.42578125" style="59" customWidth="1"/>
    <col min="12" max="12" width="3.140625" style="60" bestFit="1" customWidth="1"/>
    <col min="13" max="13" width="13.7109375" style="59" hidden="1" customWidth="1"/>
    <col min="14" max="14" width="3.140625" style="60" hidden="1" customWidth="1"/>
    <col min="15" max="15" width="14.42578125" style="59" customWidth="1"/>
    <col min="16" max="16" width="19.85546875" style="60" customWidth="1"/>
    <col min="17" max="17" width="14.28515625" style="29" customWidth="1"/>
    <col min="18" max="18" width="10.7109375" style="29" customWidth="1"/>
    <col min="19" max="19" width="14.7109375" style="29" customWidth="1"/>
    <col min="20" max="20" width="10.140625" style="29" bestFit="1" customWidth="1"/>
    <col min="21" max="21" width="14.85546875" style="29" bestFit="1" customWidth="1"/>
    <col min="22" max="22" width="10.140625" style="29" bestFit="1" customWidth="1"/>
    <col min="23" max="23" width="15.85546875" style="29" customWidth="1"/>
    <col min="24" max="24" width="10.140625" style="29" bestFit="1" customWidth="1"/>
    <col min="25"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818</v>
      </c>
      <c r="C3" s="10" t="s">
        <v>979</v>
      </c>
      <c r="D3" s="6"/>
      <c r="E3" s="11"/>
      <c r="F3" s="9"/>
      <c r="G3" s="11"/>
      <c r="H3" s="6"/>
      <c r="I3" s="11"/>
      <c r="J3" s="6"/>
      <c r="K3" s="1734"/>
      <c r="L3" s="6"/>
      <c r="M3" s="11"/>
      <c r="N3" s="6"/>
    </row>
    <row r="4" spans="1:16" s="4" customFormat="1" ht="15.75" x14ac:dyDescent="0.25">
      <c r="A4" s="1" t="s">
        <v>180</v>
      </c>
      <c r="B4" s="10" t="s">
        <v>980</v>
      </c>
      <c r="C4" s="10" t="s">
        <v>25</v>
      </c>
      <c r="D4" s="6"/>
      <c r="E4" s="11"/>
      <c r="F4" s="9"/>
      <c r="G4" s="11"/>
      <c r="H4" s="6"/>
      <c r="I4" s="11"/>
      <c r="J4" s="6"/>
      <c r="K4" s="11"/>
      <c r="L4" s="6"/>
      <c r="M4" s="11"/>
      <c r="N4" s="6"/>
    </row>
    <row r="5" spans="1:16" s="4" customFormat="1" ht="15.75" x14ac:dyDescent="0.2">
      <c r="A5" s="1" t="s">
        <v>183</v>
      </c>
      <c r="B5" s="12" t="s">
        <v>981</v>
      </c>
      <c r="C5" s="12" t="s">
        <v>26</v>
      </c>
      <c r="D5" s="13"/>
      <c r="E5" s="14"/>
      <c r="G5" s="14"/>
      <c r="I5" s="600"/>
      <c r="K5" s="600"/>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ht="15" x14ac:dyDescent="0.25">
      <c r="A10" s="35" t="s">
        <v>517</v>
      </c>
      <c r="B10" s="36"/>
      <c r="C10" s="601"/>
      <c r="G10" s="40"/>
      <c r="I10" s="40"/>
    </row>
    <row r="11" spans="1:16" s="37" customFormat="1" ht="15" x14ac:dyDescent="0.25">
      <c r="A11" s="35" t="s">
        <v>982</v>
      </c>
      <c r="B11" s="36"/>
      <c r="C11" s="601"/>
      <c r="G11" s="40"/>
      <c r="I11" s="40"/>
    </row>
    <row r="12" spans="1:16" s="37" customFormat="1" x14ac:dyDescent="0.2">
      <c r="A12" s="35" t="s">
        <v>983</v>
      </c>
      <c r="B12" s="36"/>
      <c r="C12" s="602"/>
      <c r="G12" s="40"/>
      <c r="I12" s="40"/>
      <c r="P12" s="603"/>
    </row>
    <row r="13" spans="1:16" s="37" customFormat="1" x14ac:dyDescent="0.2">
      <c r="A13" s="41" t="s">
        <v>984</v>
      </c>
      <c r="B13" s="36"/>
      <c r="C13" s="604">
        <v>117</v>
      </c>
      <c r="D13" s="604"/>
      <c r="E13" s="604">
        <v>107</v>
      </c>
      <c r="G13" s="604">
        <v>109</v>
      </c>
      <c r="I13" s="604">
        <v>104</v>
      </c>
      <c r="K13" s="604">
        <v>104</v>
      </c>
      <c r="M13" s="403"/>
      <c r="P13" s="603"/>
    </row>
    <row r="14" spans="1:16" s="37" customFormat="1" x14ac:dyDescent="0.2">
      <c r="A14" s="41" t="s">
        <v>985</v>
      </c>
      <c r="B14" s="36"/>
      <c r="C14" s="604">
        <v>130</v>
      </c>
      <c r="D14" s="604"/>
      <c r="E14" s="604">
        <v>130</v>
      </c>
      <c r="G14" s="604">
        <v>159</v>
      </c>
      <c r="I14" s="604">
        <v>145</v>
      </c>
      <c r="K14" s="604">
        <v>145</v>
      </c>
      <c r="M14" s="403"/>
      <c r="P14" s="605"/>
    </row>
    <row r="15" spans="1:16" s="37" customFormat="1" x14ac:dyDescent="0.2">
      <c r="A15" s="41" t="s">
        <v>986</v>
      </c>
      <c r="B15" s="36"/>
      <c r="C15" s="606">
        <f>C20+C23+C26+C29+C32+C35+C38+C41+C44+C47+C50+C53+C56+C59+C62+C65+C67</f>
        <v>367133026.99999994</v>
      </c>
      <c r="D15" s="606"/>
      <c r="E15" s="606">
        <f>E20+E23+E26+E29+E32+E35+E38+E41+E44+E47+E50+E53+E56+E59+E62+E65+E67</f>
        <v>355475607</v>
      </c>
      <c r="F15" s="606"/>
      <c r="G15" s="606">
        <f>G20+G23+G26+G29+G32+G35+G38+G41+G44+G47+G50+G53+G56+G59+G62+G65+G67</f>
        <v>392432001</v>
      </c>
      <c r="H15" s="606">
        <f>H20+H23+H26+H29+H32+H35+H38+H41+H44+H47+H50+H53+H56+H59+H62+H65+H67</f>
        <v>0</v>
      </c>
      <c r="I15" s="606">
        <f>I20+I23+I26+I29+I32+I35+I38+I41+I44+I47+I50+I53+I56+I59+I62+I65+I67</f>
        <v>352448000</v>
      </c>
      <c r="J15" s="606"/>
      <c r="K15" s="606">
        <f t="shared" ref="K15" si="0">K20+K23+K26+K29+K32+K35+K38+K41+K44+K47+K50+K53+K56+K59+K62+K65+K67</f>
        <v>352448000</v>
      </c>
      <c r="M15" s="607"/>
      <c r="P15" s="608"/>
    </row>
    <row r="16" spans="1:16" s="37" customFormat="1" x14ac:dyDescent="0.2">
      <c r="A16" s="41" t="s">
        <v>987</v>
      </c>
      <c r="B16" s="36"/>
      <c r="C16" s="604">
        <f>C19+C22+C25+C28+C31+C34+C37+C40+C43+C46+C49+C52+C55+C58+C61+C64</f>
        <v>338594</v>
      </c>
      <c r="D16" s="604"/>
      <c r="E16" s="604">
        <f t="shared" ref="E16:H16" si="1">E19+E22+E25+E28+E31+E34+E37+E40+E43+E46+E49+E52+E55+E58+E61+E64</f>
        <v>339832</v>
      </c>
      <c r="F16" s="604"/>
      <c r="G16" s="604">
        <f t="shared" si="1"/>
        <v>345329</v>
      </c>
      <c r="H16" s="604">
        <f t="shared" si="1"/>
        <v>0</v>
      </c>
      <c r="I16" s="604">
        <v>328279</v>
      </c>
      <c r="J16" s="604"/>
      <c r="K16" s="604">
        <v>328279</v>
      </c>
      <c r="M16" s="403"/>
      <c r="P16" s="603"/>
    </row>
    <row r="17" spans="1:16" s="37" customFormat="1" x14ac:dyDescent="0.2">
      <c r="A17" s="41" t="s">
        <v>988</v>
      </c>
      <c r="B17" s="36"/>
      <c r="C17" s="604"/>
      <c r="D17" s="604"/>
      <c r="E17" s="604"/>
      <c r="G17" s="40"/>
      <c r="I17" s="40"/>
      <c r="K17" s="40"/>
      <c r="M17" s="89"/>
      <c r="P17" s="603"/>
    </row>
    <row r="18" spans="1:16" s="87" customFormat="1" x14ac:dyDescent="0.2">
      <c r="A18" s="90" t="s">
        <v>347</v>
      </c>
      <c r="B18" s="609"/>
      <c r="C18" s="604"/>
      <c r="D18" s="604"/>
      <c r="E18" s="604"/>
      <c r="G18" s="63"/>
      <c r="I18" s="63"/>
      <c r="K18" s="63"/>
      <c r="P18" s="603"/>
    </row>
    <row r="19" spans="1:16" s="87" customFormat="1" x14ac:dyDescent="0.2">
      <c r="A19" s="131" t="s">
        <v>989</v>
      </c>
      <c r="B19" s="609"/>
      <c r="C19" s="604">
        <v>28929</v>
      </c>
      <c r="D19" s="604"/>
      <c r="E19" s="604">
        <v>29391</v>
      </c>
      <c r="G19" s="62">
        <v>28879</v>
      </c>
      <c r="I19" s="62">
        <v>28759.336501925227</v>
      </c>
      <c r="K19" s="62">
        <v>28759.336501925227</v>
      </c>
      <c r="M19" s="610"/>
      <c r="O19" s="76"/>
      <c r="P19" s="603"/>
    </row>
    <row r="20" spans="1:16" s="87" customFormat="1" x14ac:dyDescent="0.2">
      <c r="A20" s="131" t="s">
        <v>990</v>
      </c>
      <c r="B20" s="609"/>
      <c r="C20" s="606">
        <v>6488989.0135004111</v>
      </c>
      <c r="D20" s="604"/>
      <c r="E20" s="606">
        <v>4735542</v>
      </c>
      <c r="G20" s="611">
        <v>6670425</v>
      </c>
      <c r="I20" s="611">
        <v>4633767</v>
      </c>
      <c r="K20" s="611">
        <v>4633767</v>
      </c>
      <c r="M20" s="612"/>
      <c r="O20" s="76"/>
      <c r="P20" s="603"/>
    </row>
    <row r="21" spans="1:16" s="87" customFormat="1" x14ac:dyDescent="0.2">
      <c r="A21" s="613" t="s">
        <v>991</v>
      </c>
      <c r="B21" s="614"/>
      <c r="C21" s="604"/>
      <c r="D21" s="604"/>
      <c r="E21" s="604"/>
      <c r="G21" s="63"/>
      <c r="I21" s="63"/>
      <c r="K21" s="63"/>
      <c r="M21" s="615"/>
      <c r="O21" s="76"/>
      <c r="P21" s="603"/>
    </row>
    <row r="22" spans="1:16" s="87" customFormat="1" x14ac:dyDescent="0.2">
      <c r="A22" s="131" t="s">
        <v>989</v>
      </c>
      <c r="B22" s="614"/>
      <c r="C22" s="604">
        <v>12272</v>
      </c>
      <c r="D22" s="604"/>
      <c r="E22" s="604">
        <v>12370</v>
      </c>
      <c r="G22" s="62">
        <v>12917</v>
      </c>
      <c r="I22" s="62">
        <v>12104.14767964973</v>
      </c>
      <c r="K22" s="62">
        <v>12104.14767964973</v>
      </c>
      <c r="M22" s="610"/>
      <c r="O22" s="76"/>
      <c r="P22" s="603"/>
    </row>
    <row r="23" spans="1:16" s="87" customFormat="1" x14ac:dyDescent="0.2">
      <c r="A23" s="131" t="s">
        <v>990</v>
      </c>
      <c r="B23" s="614"/>
      <c r="C23" s="606">
        <v>12111167.273520658</v>
      </c>
      <c r="D23" s="604"/>
      <c r="E23" s="606">
        <v>10599348</v>
      </c>
      <c r="G23" s="611">
        <v>11652127</v>
      </c>
      <c r="I23" s="611">
        <v>10371550</v>
      </c>
      <c r="K23" s="611">
        <v>10371550</v>
      </c>
      <c r="M23" s="612"/>
      <c r="O23" s="76"/>
      <c r="P23" s="603"/>
    </row>
    <row r="24" spans="1:16" s="87" customFormat="1" x14ac:dyDescent="0.2">
      <c r="A24" s="210" t="s">
        <v>992</v>
      </c>
      <c r="B24" s="609"/>
      <c r="C24" s="604"/>
      <c r="D24" s="604"/>
      <c r="E24" s="604"/>
      <c r="G24" s="62"/>
      <c r="I24" s="62"/>
      <c r="K24" s="62"/>
      <c r="M24" s="616"/>
      <c r="O24" s="76"/>
      <c r="P24" s="603"/>
    </row>
    <row r="25" spans="1:16" s="87" customFormat="1" x14ac:dyDescent="0.2">
      <c r="A25" s="617" t="s">
        <v>989</v>
      </c>
      <c r="B25" s="609"/>
      <c r="C25" s="604">
        <v>89297</v>
      </c>
      <c r="D25" s="604"/>
      <c r="E25" s="604">
        <v>90864</v>
      </c>
      <c r="G25" s="62">
        <v>90067</v>
      </c>
      <c r="I25" s="62">
        <v>84471.784331203948</v>
      </c>
      <c r="K25" s="62">
        <v>84471.784331203948</v>
      </c>
      <c r="M25" s="610"/>
      <c r="O25" s="76"/>
      <c r="P25" s="603"/>
    </row>
    <row r="26" spans="1:16" s="87" customFormat="1" x14ac:dyDescent="0.2">
      <c r="A26" s="131" t="s">
        <v>990</v>
      </c>
      <c r="B26" s="609"/>
      <c r="C26" s="606">
        <v>43110469.098927654</v>
      </c>
      <c r="D26" s="604"/>
      <c r="E26" s="606">
        <v>38681232</v>
      </c>
      <c r="G26" s="611">
        <v>40837749</v>
      </c>
      <c r="I26" s="611">
        <v>37849908</v>
      </c>
      <c r="K26" s="611">
        <v>37849908</v>
      </c>
      <c r="M26" s="612"/>
      <c r="O26" s="76"/>
      <c r="P26" s="603"/>
    </row>
    <row r="27" spans="1:16" s="87" customFormat="1" x14ac:dyDescent="0.2">
      <c r="A27" s="90" t="s">
        <v>993</v>
      </c>
      <c r="B27" s="609"/>
      <c r="C27" s="606"/>
      <c r="D27" s="604"/>
      <c r="E27" s="606"/>
      <c r="G27" s="611"/>
      <c r="I27" s="611"/>
      <c r="K27" s="611"/>
      <c r="O27" s="76"/>
      <c r="P27" s="603"/>
    </row>
    <row r="28" spans="1:16" s="87" customFormat="1" x14ac:dyDescent="0.2">
      <c r="A28" s="131" t="s">
        <v>989</v>
      </c>
      <c r="B28" s="609"/>
      <c r="C28" s="604">
        <v>134694</v>
      </c>
      <c r="D28" s="604"/>
      <c r="E28" s="604">
        <v>136905</v>
      </c>
      <c r="G28" s="62">
        <v>137324</v>
      </c>
      <c r="I28" s="62">
        <v>133962.68300074674</v>
      </c>
      <c r="K28" s="62">
        <v>133962.68300074674</v>
      </c>
      <c r="M28" s="610"/>
      <c r="O28" s="76"/>
      <c r="P28" s="603"/>
    </row>
    <row r="29" spans="1:16" s="87" customFormat="1" x14ac:dyDescent="0.2">
      <c r="A29" s="131" t="s">
        <v>990</v>
      </c>
      <c r="B29" s="609"/>
      <c r="C29" s="606">
        <v>66529802.119219571</v>
      </c>
      <c r="D29" s="604"/>
      <c r="E29" s="606">
        <v>64864792.68</v>
      </c>
      <c r="G29" s="611">
        <v>75197686</v>
      </c>
      <c r="I29" s="611">
        <v>63470740</v>
      </c>
      <c r="K29" s="611">
        <v>63470740</v>
      </c>
      <c r="M29" s="612"/>
      <c r="O29" s="76"/>
      <c r="P29" s="603"/>
    </row>
    <row r="30" spans="1:16" s="87" customFormat="1" x14ac:dyDescent="0.2">
      <c r="A30" s="90" t="s">
        <v>994</v>
      </c>
      <c r="B30" s="609"/>
      <c r="C30" s="604"/>
      <c r="D30" s="604"/>
      <c r="E30" s="604"/>
      <c r="G30" s="62"/>
      <c r="I30" s="62"/>
      <c r="K30" s="62"/>
      <c r="O30" s="76"/>
      <c r="P30" s="603"/>
    </row>
    <row r="31" spans="1:16" s="87" customFormat="1" x14ac:dyDescent="0.2">
      <c r="A31" s="131" t="s">
        <v>989</v>
      </c>
      <c r="B31" s="609"/>
      <c r="C31" s="604">
        <v>12067</v>
      </c>
      <c r="D31" s="604"/>
      <c r="E31" s="604">
        <v>11173</v>
      </c>
      <c r="G31" s="62">
        <v>12220</v>
      </c>
      <c r="I31" s="62">
        <v>10932.873582105613</v>
      </c>
      <c r="K31" s="62">
        <v>10932.873582105613</v>
      </c>
      <c r="M31" s="610"/>
      <c r="O31" s="76"/>
      <c r="P31" s="603"/>
    </row>
    <row r="32" spans="1:16" s="87" customFormat="1" x14ac:dyDescent="0.2">
      <c r="A32" s="131" t="s">
        <v>990</v>
      </c>
      <c r="B32" s="609"/>
      <c r="C32" s="606">
        <v>20401586.558653142</v>
      </c>
      <c r="D32" s="604"/>
      <c r="E32" s="606">
        <v>19703405.059999999</v>
      </c>
      <c r="G32" s="611">
        <v>23394695</v>
      </c>
      <c r="I32" s="611">
        <v>19279946</v>
      </c>
      <c r="K32" s="611">
        <v>19279946</v>
      </c>
      <c r="M32" s="612"/>
      <c r="O32" s="76"/>
      <c r="P32" s="603"/>
    </row>
    <row r="33" spans="1:18" s="87" customFormat="1" ht="15.75" customHeight="1" x14ac:dyDescent="0.2">
      <c r="A33" s="90" t="s">
        <v>995</v>
      </c>
      <c r="B33" s="609"/>
      <c r="C33" s="604"/>
      <c r="D33" s="604"/>
      <c r="E33" s="604"/>
      <c r="G33" s="63"/>
      <c r="I33" s="63"/>
      <c r="K33" s="63"/>
      <c r="O33" s="76"/>
      <c r="P33" s="603"/>
    </row>
    <row r="34" spans="1:18" s="87" customFormat="1" x14ac:dyDescent="0.2">
      <c r="A34" s="131" t="s">
        <v>989</v>
      </c>
      <c r="B34" s="609"/>
      <c r="C34" s="604">
        <v>3175</v>
      </c>
      <c r="D34" s="604"/>
      <c r="E34" s="604">
        <v>2894</v>
      </c>
      <c r="G34" s="62">
        <v>3182</v>
      </c>
      <c r="I34" s="62">
        <v>2831.8031229355706</v>
      </c>
      <c r="K34" s="62">
        <v>2831.8031229355706</v>
      </c>
      <c r="M34" s="610"/>
      <c r="O34" s="76"/>
      <c r="P34" s="603"/>
    </row>
    <row r="35" spans="1:18" s="87" customFormat="1" x14ac:dyDescent="0.2">
      <c r="A35" s="131" t="s">
        <v>990</v>
      </c>
      <c r="B35" s="609"/>
      <c r="C35" s="606">
        <v>49096758.194520459</v>
      </c>
      <c r="D35" s="604"/>
      <c r="E35" s="606">
        <v>47296101.530000001</v>
      </c>
      <c r="G35" s="611">
        <v>51612417</v>
      </c>
      <c r="I35" s="611">
        <v>45923001</v>
      </c>
      <c r="K35" s="611">
        <v>45923001</v>
      </c>
      <c r="M35" s="612"/>
      <c r="O35" s="76"/>
      <c r="P35" s="603"/>
    </row>
    <row r="36" spans="1:18" s="87" customFormat="1" x14ac:dyDescent="0.2">
      <c r="A36" s="90" t="s">
        <v>996</v>
      </c>
      <c r="B36" s="609"/>
      <c r="C36" s="604"/>
      <c r="D36" s="604"/>
      <c r="E36" s="604"/>
      <c r="G36" s="63"/>
      <c r="I36" s="63"/>
      <c r="K36" s="63"/>
      <c r="M36" s="618"/>
      <c r="O36" s="76"/>
      <c r="P36" s="603"/>
    </row>
    <row r="37" spans="1:18" s="87" customFormat="1" ht="16.5" customHeight="1" x14ac:dyDescent="0.2">
      <c r="A37" s="131" t="s">
        <v>997</v>
      </c>
      <c r="B37" s="609"/>
      <c r="C37" s="604">
        <v>83</v>
      </c>
      <c r="D37" s="604"/>
      <c r="E37" s="604">
        <v>83</v>
      </c>
      <c r="G37" s="62">
        <v>83</v>
      </c>
      <c r="I37" s="62">
        <v>83</v>
      </c>
      <c r="K37" s="62">
        <v>83</v>
      </c>
      <c r="M37" s="610"/>
      <c r="O37" s="76"/>
      <c r="P37" s="603"/>
    </row>
    <row r="38" spans="1:18" s="87" customFormat="1" ht="15" customHeight="1" x14ac:dyDescent="0.2">
      <c r="A38" s="619" t="s">
        <v>998</v>
      </c>
      <c r="B38" s="609"/>
      <c r="C38" s="606">
        <v>2289026</v>
      </c>
      <c r="D38" s="604"/>
      <c r="E38" s="606">
        <v>2321607</v>
      </c>
      <c r="G38" s="611">
        <v>2289026</v>
      </c>
      <c r="I38" s="611">
        <v>2321607</v>
      </c>
      <c r="K38" s="611">
        <v>2321607</v>
      </c>
      <c r="M38" s="612"/>
      <c r="O38" s="76"/>
      <c r="P38" s="603"/>
    </row>
    <row r="39" spans="1:18" s="87" customFormat="1" x14ac:dyDescent="0.2">
      <c r="A39" s="620" t="s">
        <v>999</v>
      </c>
      <c r="B39" s="621"/>
      <c r="C39" s="622"/>
      <c r="D39" s="622"/>
      <c r="E39" s="622"/>
      <c r="F39" s="402"/>
      <c r="G39" s="111"/>
      <c r="H39" s="402"/>
      <c r="I39" s="111"/>
      <c r="J39" s="402"/>
      <c r="K39" s="111"/>
      <c r="L39" s="402"/>
      <c r="M39" s="623"/>
      <c r="N39" s="402"/>
      <c r="O39" s="112"/>
      <c r="P39" s="603"/>
    </row>
    <row r="40" spans="1:18" s="87" customFormat="1" x14ac:dyDescent="0.2">
      <c r="A40" s="624" t="s">
        <v>989</v>
      </c>
      <c r="B40" s="621"/>
      <c r="C40" s="622">
        <v>6298</v>
      </c>
      <c r="D40" s="622"/>
      <c r="E40" s="622">
        <v>6363</v>
      </c>
      <c r="F40" s="402"/>
      <c r="G40" s="625">
        <v>7792</v>
      </c>
      <c r="H40" s="402"/>
      <c r="I40" s="625">
        <v>6415.4413381568456</v>
      </c>
      <c r="J40" s="402"/>
      <c r="K40" s="625">
        <v>6415.4413381568456</v>
      </c>
      <c r="L40" s="402"/>
      <c r="M40" s="623"/>
      <c r="N40" s="402"/>
      <c r="O40" s="112"/>
      <c r="P40" s="603"/>
    </row>
    <row r="41" spans="1:18" s="87" customFormat="1" x14ac:dyDescent="0.2">
      <c r="A41" s="626" t="s">
        <v>990</v>
      </c>
      <c r="B41" s="621"/>
      <c r="C41" s="627">
        <v>99070577.068120629</v>
      </c>
      <c r="D41" s="622"/>
      <c r="E41" s="627">
        <v>105365566</v>
      </c>
      <c r="F41" s="402"/>
      <c r="G41" s="628">
        <v>111364128</v>
      </c>
      <c r="H41" s="402"/>
      <c r="I41" s="628">
        <v>107944421</v>
      </c>
      <c r="J41" s="402"/>
      <c r="K41" s="628">
        <v>107944421</v>
      </c>
      <c r="L41" s="402"/>
      <c r="M41" s="629"/>
      <c r="N41" s="402"/>
      <c r="O41" s="112"/>
      <c r="P41" s="603"/>
    </row>
    <row r="42" spans="1:18" s="87" customFormat="1" x14ac:dyDescent="0.2">
      <c r="A42" s="90" t="s">
        <v>1000</v>
      </c>
      <c r="B42" s="609"/>
      <c r="C42" s="604"/>
      <c r="D42" s="604"/>
      <c r="E42" s="604"/>
      <c r="G42" s="63"/>
      <c r="I42" s="63"/>
      <c r="K42" s="63"/>
      <c r="O42" s="76"/>
      <c r="P42" s="603"/>
    </row>
    <row r="43" spans="1:18" s="87" customFormat="1" x14ac:dyDescent="0.2">
      <c r="A43" s="626" t="s">
        <v>989</v>
      </c>
      <c r="B43" s="609"/>
      <c r="C43" s="604">
        <v>1842</v>
      </c>
      <c r="D43" s="604"/>
      <c r="E43" s="604">
        <v>1805</v>
      </c>
      <c r="G43" s="62">
        <v>1749</v>
      </c>
      <c r="I43" s="62">
        <v>1766.2074582421769</v>
      </c>
      <c r="K43" s="62">
        <v>1766.2074582421769</v>
      </c>
      <c r="M43" s="610"/>
      <c r="O43" s="76"/>
      <c r="P43" s="603"/>
    </row>
    <row r="44" spans="1:18" s="63" customFormat="1" x14ac:dyDescent="0.2">
      <c r="A44" s="131" t="s">
        <v>990</v>
      </c>
      <c r="B44" s="630"/>
      <c r="C44" s="606">
        <v>4103425.865097391</v>
      </c>
      <c r="D44" s="604"/>
      <c r="E44" s="606">
        <v>4086899.47</v>
      </c>
      <c r="F44" s="87"/>
      <c r="G44" s="611">
        <v>4113604</v>
      </c>
      <c r="I44" s="611">
        <v>3999065</v>
      </c>
      <c r="K44" s="611">
        <v>3999065</v>
      </c>
      <c r="M44" s="611"/>
      <c r="O44" s="76"/>
      <c r="P44" s="603"/>
    </row>
    <row r="45" spans="1:18" s="63" customFormat="1" x14ac:dyDescent="0.2">
      <c r="A45" s="620" t="s">
        <v>1001</v>
      </c>
      <c r="B45" s="630"/>
      <c r="C45" s="604"/>
      <c r="D45" s="604"/>
      <c r="E45" s="604"/>
      <c r="M45" s="631"/>
      <c r="O45" s="76"/>
      <c r="P45" s="603"/>
    </row>
    <row r="46" spans="1:18" s="63" customFormat="1" x14ac:dyDescent="0.2">
      <c r="A46" s="624" t="s">
        <v>989</v>
      </c>
      <c r="B46" s="630"/>
      <c r="C46" s="604">
        <v>20329</v>
      </c>
      <c r="D46" s="604"/>
      <c r="E46" s="604">
        <v>18571</v>
      </c>
      <c r="F46" s="87"/>
      <c r="G46" s="62">
        <v>20441</v>
      </c>
      <c r="I46" s="62">
        <v>18171.876889498912</v>
      </c>
      <c r="K46" s="62">
        <v>18171.876889498912</v>
      </c>
      <c r="M46" s="632"/>
      <c r="O46" s="76"/>
      <c r="P46" s="603"/>
    </row>
    <row r="47" spans="1:18" s="63" customFormat="1" x14ac:dyDescent="0.2">
      <c r="A47" s="131" t="s">
        <v>990</v>
      </c>
      <c r="B47" s="630"/>
      <c r="C47" s="606">
        <v>6373870.3183974242</v>
      </c>
      <c r="D47" s="604"/>
      <c r="E47" s="606">
        <v>6024547</v>
      </c>
      <c r="F47" s="87"/>
      <c r="G47" s="611">
        <v>5919243</v>
      </c>
      <c r="I47" s="611">
        <v>5895069</v>
      </c>
      <c r="K47" s="611">
        <v>5895069</v>
      </c>
      <c r="M47" s="611"/>
      <c r="O47" s="76"/>
      <c r="P47" s="603"/>
      <c r="R47" s="633"/>
    </row>
    <row r="48" spans="1:18" s="63" customFormat="1" x14ac:dyDescent="0.2">
      <c r="A48" s="90" t="s">
        <v>1002</v>
      </c>
      <c r="B48" s="630"/>
      <c r="C48" s="604"/>
      <c r="D48" s="604"/>
      <c r="E48" s="604"/>
      <c r="M48" s="62"/>
      <c r="O48" s="76"/>
      <c r="P48" s="603"/>
    </row>
    <row r="49" spans="1:18" s="63" customFormat="1" x14ac:dyDescent="0.2">
      <c r="A49" s="131" t="s">
        <v>989</v>
      </c>
      <c r="B49" s="630"/>
      <c r="C49" s="604">
        <v>10194</v>
      </c>
      <c r="D49" s="604"/>
      <c r="E49" s="604">
        <v>10157</v>
      </c>
      <c r="F49" s="87"/>
      <c r="G49" s="62">
        <v>10304</v>
      </c>
      <c r="I49" s="62">
        <v>9938.7088500922382</v>
      </c>
      <c r="K49" s="62">
        <v>9938.7088500922382</v>
      </c>
      <c r="M49" s="634"/>
      <c r="O49" s="76"/>
      <c r="P49" s="603"/>
      <c r="R49" s="633"/>
    </row>
    <row r="50" spans="1:18" s="63" customFormat="1" x14ac:dyDescent="0.2">
      <c r="A50" s="131" t="s">
        <v>990</v>
      </c>
      <c r="B50" s="630"/>
      <c r="C50" s="606">
        <v>20583638.417084366</v>
      </c>
      <c r="D50" s="604"/>
      <c r="E50" s="606">
        <v>17569989.870000001</v>
      </c>
      <c r="F50" s="87"/>
      <c r="G50" s="611">
        <v>21909830</v>
      </c>
      <c r="I50" s="611">
        <v>17192381</v>
      </c>
      <c r="K50" s="611">
        <v>17192381</v>
      </c>
      <c r="M50" s="611"/>
      <c r="O50" s="76"/>
      <c r="P50" s="603"/>
      <c r="R50" s="633"/>
    </row>
    <row r="51" spans="1:18" s="63" customFormat="1" x14ac:dyDescent="0.2">
      <c r="A51" s="210" t="s">
        <v>1003</v>
      </c>
      <c r="B51" s="630"/>
      <c r="C51" s="604"/>
      <c r="D51" s="604"/>
      <c r="E51" s="604"/>
      <c r="M51" s="633"/>
      <c r="O51" s="76"/>
      <c r="P51" s="603"/>
    </row>
    <row r="52" spans="1:18" s="63" customFormat="1" x14ac:dyDescent="0.2">
      <c r="A52" s="617" t="s">
        <v>989</v>
      </c>
      <c r="B52" s="630"/>
      <c r="C52" s="604">
        <v>2392</v>
      </c>
      <c r="D52" s="604"/>
      <c r="E52" s="604">
        <v>2415</v>
      </c>
      <c r="F52" s="87"/>
      <c r="G52" s="62">
        <v>2431</v>
      </c>
      <c r="I52" s="62">
        <v>2363.0978741863291</v>
      </c>
      <c r="K52" s="62">
        <v>2363.0978741863291</v>
      </c>
      <c r="M52" s="62"/>
      <c r="O52" s="76"/>
      <c r="P52" s="603"/>
      <c r="R52" s="633"/>
    </row>
    <row r="53" spans="1:18" s="63" customFormat="1" x14ac:dyDescent="0.2">
      <c r="A53" s="131" t="s">
        <v>990</v>
      </c>
      <c r="B53" s="630"/>
      <c r="C53" s="606">
        <v>1783634.5133161223</v>
      </c>
      <c r="D53" s="604"/>
      <c r="E53" s="606">
        <v>1976637.02</v>
      </c>
      <c r="F53" s="87"/>
      <c r="G53" s="611">
        <v>1782153</v>
      </c>
      <c r="I53" s="611">
        <v>1934156</v>
      </c>
      <c r="K53" s="611">
        <v>1934156</v>
      </c>
      <c r="M53" s="635"/>
      <c r="O53" s="76"/>
      <c r="P53" s="603"/>
      <c r="R53" s="633"/>
    </row>
    <row r="54" spans="1:18" s="63" customFormat="1" x14ac:dyDescent="0.2">
      <c r="A54" s="90" t="s">
        <v>1004</v>
      </c>
      <c r="B54" s="630"/>
      <c r="C54" s="604"/>
      <c r="D54" s="604"/>
      <c r="E54" s="604"/>
      <c r="O54" s="76"/>
      <c r="P54" s="603"/>
    </row>
    <row r="55" spans="1:18" s="63" customFormat="1" x14ac:dyDescent="0.2">
      <c r="A55" s="617" t="s">
        <v>989</v>
      </c>
      <c r="B55" s="630"/>
      <c r="C55" s="604">
        <v>2372</v>
      </c>
      <c r="D55" s="604"/>
      <c r="E55" s="604">
        <v>2560</v>
      </c>
      <c r="F55" s="87"/>
      <c r="G55" s="62">
        <v>2525</v>
      </c>
      <c r="I55" s="62">
        <v>2504.9813921989839</v>
      </c>
      <c r="K55" s="62">
        <v>2504.9813921989839</v>
      </c>
      <c r="M55" s="62"/>
      <c r="O55" s="76"/>
      <c r="P55" s="603"/>
      <c r="R55" s="633"/>
    </row>
    <row r="56" spans="1:18" s="63" customFormat="1" x14ac:dyDescent="0.2">
      <c r="A56" s="131" t="s">
        <v>990</v>
      </c>
      <c r="B56" s="630"/>
      <c r="C56" s="606">
        <v>18302517.932536785</v>
      </c>
      <c r="D56" s="604"/>
      <c r="E56" s="606">
        <v>15757101</v>
      </c>
      <c r="F56" s="87"/>
      <c r="G56" s="611">
        <v>18640230</v>
      </c>
      <c r="I56" s="611">
        <v>15418455</v>
      </c>
      <c r="K56" s="611">
        <v>15418455</v>
      </c>
      <c r="M56" s="635"/>
      <c r="O56" s="76"/>
      <c r="P56" s="603"/>
    </row>
    <row r="57" spans="1:18" s="63" customFormat="1" x14ac:dyDescent="0.2">
      <c r="A57" s="210" t="s">
        <v>1005</v>
      </c>
      <c r="B57" s="630"/>
      <c r="C57" s="604"/>
      <c r="D57" s="604"/>
      <c r="E57" s="604"/>
      <c r="O57" s="76"/>
      <c r="P57" s="603"/>
      <c r="R57" s="633"/>
    </row>
    <row r="58" spans="1:18" s="63" customFormat="1" x14ac:dyDescent="0.2">
      <c r="A58" s="617" t="s">
        <v>989</v>
      </c>
      <c r="B58" s="630"/>
      <c r="C58" s="604">
        <v>1090</v>
      </c>
      <c r="D58" s="604"/>
      <c r="E58" s="604">
        <v>1049</v>
      </c>
      <c r="F58" s="87"/>
      <c r="G58" s="62">
        <v>1323</v>
      </c>
      <c r="I58" s="62">
        <v>1026.4552920080371</v>
      </c>
      <c r="K58" s="62">
        <v>1026.4552920080371</v>
      </c>
      <c r="M58" s="62"/>
      <c r="O58" s="76"/>
      <c r="P58" s="603"/>
    </row>
    <row r="59" spans="1:18" s="63" customFormat="1" x14ac:dyDescent="0.2">
      <c r="A59" s="131" t="s">
        <v>990</v>
      </c>
      <c r="B59" s="630"/>
      <c r="C59" s="606">
        <v>3853899.8213695823</v>
      </c>
      <c r="D59" s="604"/>
      <c r="E59" s="606">
        <v>3749229</v>
      </c>
      <c r="F59" s="87"/>
      <c r="G59" s="611">
        <v>3597527</v>
      </c>
      <c r="I59" s="611">
        <v>3668652</v>
      </c>
      <c r="K59" s="611">
        <v>3668652</v>
      </c>
      <c r="M59" s="611"/>
      <c r="O59" s="76"/>
      <c r="P59" s="603"/>
      <c r="R59" s="636"/>
    </row>
    <row r="60" spans="1:18" s="63" customFormat="1" ht="14.25" customHeight="1" x14ac:dyDescent="0.2">
      <c r="A60" s="94" t="s">
        <v>1006</v>
      </c>
      <c r="B60" s="630"/>
      <c r="C60" s="604"/>
      <c r="D60" s="604"/>
      <c r="E60" s="604"/>
      <c r="M60" s="637"/>
      <c r="O60" s="76"/>
      <c r="P60" s="603"/>
    </row>
    <row r="61" spans="1:18" s="63" customFormat="1" x14ac:dyDescent="0.2">
      <c r="A61" s="626" t="s">
        <v>989</v>
      </c>
      <c r="B61" s="630"/>
      <c r="C61" s="604">
        <v>2954</v>
      </c>
      <c r="D61" s="604"/>
      <c r="E61" s="604">
        <v>3761</v>
      </c>
      <c r="F61" s="87"/>
      <c r="G61" s="62">
        <v>3315</v>
      </c>
      <c r="I61" s="62">
        <v>3680.1694579686814</v>
      </c>
      <c r="K61" s="62">
        <v>3680.1694579686814</v>
      </c>
      <c r="M61" s="634"/>
      <c r="O61" s="76"/>
      <c r="P61" s="603"/>
    </row>
    <row r="62" spans="1:18" s="63" customFormat="1" x14ac:dyDescent="0.2">
      <c r="A62" s="131" t="s">
        <v>990</v>
      </c>
      <c r="B62" s="630"/>
      <c r="C62" s="606">
        <v>3653913.8982545603</v>
      </c>
      <c r="D62" s="604"/>
      <c r="E62" s="606">
        <v>3646745</v>
      </c>
      <c r="F62" s="87"/>
      <c r="G62" s="611">
        <v>3832707</v>
      </c>
      <c r="I62" s="611">
        <v>3568370</v>
      </c>
      <c r="K62" s="611">
        <v>3568370</v>
      </c>
      <c r="M62" s="611"/>
      <c r="O62" s="76"/>
      <c r="P62" s="603"/>
    </row>
    <row r="63" spans="1:18" s="63" customFormat="1" x14ac:dyDescent="0.2">
      <c r="A63" s="90" t="s">
        <v>1007</v>
      </c>
      <c r="B63" s="630"/>
      <c r="C63" s="604"/>
      <c r="D63" s="604"/>
      <c r="E63" s="604"/>
      <c r="M63" s="76"/>
      <c r="O63" s="76"/>
      <c r="P63" s="603"/>
    </row>
    <row r="64" spans="1:18" s="63" customFormat="1" x14ac:dyDescent="0.2">
      <c r="A64" s="626" t="s">
        <v>989</v>
      </c>
      <c r="B64" s="630"/>
      <c r="C64" s="604">
        <v>10606</v>
      </c>
      <c r="D64" s="604"/>
      <c r="E64" s="604">
        <v>9471</v>
      </c>
      <c r="F64" s="87"/>
      <c r="G64" s="62">
        <v>10777</v>
      </c>
      <c r="I64" s="62">
        <v>9267.4532894848362</v>
      </c>
      <c r="K64" s="62">
        <v>9267.4532894848362</v>
      </c>
      <c r="M64" s="634"/>
      <c r="O64" s="76"/>
      <c r="P64" s="603"/>
    </row>
    <row r="65" spans="1:16" s="63" customFormat="1" x14ac:dyDescent="0.2">
      <c r="A65" s="131" t="s">
        <v>990</v>
      </c>
      <c r="B65" s="630"/>
      <c r="C65" s="606">
        <v>4754303.7678579604</v>
      </c>
      <c r="D65" s="604"/>
      <c r="E65" s="606">
        <v>4955244</v>
      </c>
      <c r="F65" s="87"/>
      <c r="G65" s="611">
        <v>4771096</v>
      </c>
      <c r="I65" s="611">
        <v>4848748</v>
      </c>
      <c r="K65" s="611">
        <v>4848748</v>
      </c>
      <c r="M65" s="611"/>
      <c r="O65" s="76"/>
      <c r="P65" s="603"/>
    </row>
    <row r="66" spans="1:16" s="63" customFormat="1" x14ac:dyDescent="0.2">
      <c r="A66" s="210" t="s">
        <v>1008</v>
      </c>
      <c r="B66" s="630"/>
      <c r="C66" s="604"/>
      <c r="D66" s="604"/>
      <c r="E66" s="604"/>
      <c r="M66" s="633"/>
      <c r="O66" s="76"/>
      <c r="P66" s="603"/>
    </row>
    <row r="67" spans="1:16" s="63" customFormat="1" x14ac:dyDescent="0.2">
      <c r="A67" s="131" t="s">
        <v>990</v>
      </c>
      <c r="B67" s="630"/>
      <c r="C67" s="606">
        <v>4625447.1396232704</v>
      </c>
      <c r="D67" s="604"/>
      <c r="E67" s="606">
        <v>4141620.3699999861</v>
      </c>
      <c r="G67" s="611">
        <v>4847358</v>
      </c>
      <c r="I67" s="611">
        <v>4128164</v>
      </c>
      <c r="K67" s="611">
        <v>4128164</v>
      </c>
      <c r="M67" s="635"/>
      <c r="O67" s="76"/>
      <c r="P67" s="603"/>
    </row>
    <row r="68" spans="1:16" s="40" customFormat="1" x14ac:dyDescent="0.2">
      <c r="A68" s="41" t="s">
        <v>211</v>
      </c>
      <c r="B68" s="39"/>
      <c r="C68" s="604"/>
      <c r="D68" s="604"/>
      <c r="E68" s="604"/>
      <c r="M68" s="64"/>
    </row>
    <row r="69" spans="1:16" s="37" customFormat="1" ht="15" x14ac:dyDescent="0.25">
      <c r="A69" s="35" t="s">
        <v>1009</v>
      </c>
      <c r="B69" s="36"/>
      <c r="C69" s="604">
        <f>SUM(C70:C75)</f>
        <v>469</v>
      </c>
      <c r="D69" s="604"/>
      <c r="E69" s="604">
        <v>455</v>
      </c>
      <c r="F69" s="604"/>
      <c r="G69" s="604">
        <f>SUM(G70:G75)</f>
        <v>478</v>
      </c>
      <c r="I69" s="604">
        <v>455</v>
      </c>
      <c r="K69" s="604">
        <v>461</v>
      </c>
      <c r="M69" s="638"/>
      <c r="N69" s="638"/>
    </row>
    <row r="70" spans="1:16" s="40" customFormat="1" x14ac:dyDescent="0.2">
      <c r="A70" s="41" t="s">
        <v>1010</v>
      </c>
      <c r="B70" s="39"/>
      <c r="C70" s="604">
        <v>41</v>
      </c>
      <c r="D70" s="604"/>
      <c r="E70" s="604">
        <v>37</v>
      </c>
      <c r="F70" s="639"/>
      <c r="G70" s="42">
        <v>26</v>
      </c>
      <c r="I70" s="42">
        <v>37</v>
      </c>
      <c r="K70" s="42">
        <v>38</v>
      </c>
      <c r="M70" s="62"/>
    </row>
    <row r="71" spans="1:16" s="40" customFormat="1" x14ac:dyDescent="0.2">
      <c r="A71" s="41" t="s">
        <v>1011</v>
      </c>
      <c r="B71" s="39"/>
      <c r="C71" s="604">
        <v>135</v>
      </c>
      <c r="D71" s="604"/>
      <c r="E71" s="604">
        <v>124</v>
      </c>
      <c r="F71" s="639"/>
      <c r="G71" s="42">
        <v>158</v>
      </c>
      <c r="I71" s="42">
        <v>123</v>
      </c>
      <c r="K71" s="42">
        <v>125</v>
      </c>
      <c r="M71" s="62"/>
    </row>
    <row r="72" spans="1:16" s="40" customFormat="1" ht="15" hidden="1" customHeight="1" x14ac:dyDescent="0.2">
      <c r="A72" s="124"/>
      <c r="B72" s="39"/>
      <c r="C72" s="604"/>
      <c r="D72" s="604"/>
      <c r="E72" s="604"/>
      <c r="F72" s="639"/>
      <c r="M72" s="76"/>
    </row>
    <row r="73" spans="1:16" s="40" customFormat="1" x14ac:dyDescent="0.2">
      <c r="A73" s="41" t="s">
        <v>1012</v>
      </c>
      <c r="B73" s="39"/>
      <c r="C73" s="604">
        <v>172</v>
      </c>
      <c r="D73" s="604"/>
      <c r="E73" s="604">
        <v>173</v>
      </c>
      <c r="F73" s="639"/>
      <c r="G73" s="42">
        <v>172</v>
      </c>
      <c r="I73" s="42">
        <v>173</v>
      </c>
      <c r="K73" s="42">
        <v>175</v>
      </c>
      <c r="M73" s="62"/>
    </row>
    <row r="74" spans="1:16" s="40" customFormat="1" x14ac:dyDescent="0.2">
      <c r="A74" s="41" t="s">
        <v>1013</v>
      </c>
      <c r="B74" s="39"/>
      <c r="C74" s="604">
        <v>79</v>
      </c>
      <c r="D74" s="604"/>
      <c r="E74" s="604">
        <v>80</v>
      </c>
      <c r="F74" s="639"/>
      <c r="G74" s="42">
        <v>79</v>
      </c>
      <c r="I74" s="42">
        <v>80</v>
      </c>
      <c r="K74" s="42">
        <v>81</v>
      </c>
      <c r="M74" s="62"/>
    </row>
    <row r="75" spans="1:16" s="40" customFormat="1" x14ac:dyDescent="0.2">
      <c r="A75" s="41" t="s">
        <v>1014</v>
      </c>
      <c r="B75" s="39"/>
      <c r="C75" s="604">
        <v>42</v>
      </c>
      <c r="D75" s="604"/>
      <c r="E75" s="604">
        <v>41</v>
      </c>
      <c r="F75" s="63"/>
      <c r="G75" s="42">
        <v>43</v>
      </c>
      <c r="I75" s="42">
        <v>42</v>
      </c>
      <c r="K75" s="42">
        <v>42</v>
      </c>
      <c r="M75" s="62"/>
    </row>
    <row r="76" spans="1:16" s="40" customFormat="1" x14ac:dyDescent="0.2">
      <c r="A76" s="549" t="s">
        <v>1015</v>
      </c>
      <c r="B76" s="550"/>
      <c r="C76" s="604"/>
      <c r="D76" s="604"/>
      <c r="E76" s="604"/>
      <c r="M76" s="76"/>
    </row>
    <row r="77" spans="1:16" s="40" customFormat="1" x14ac:dyDescent="0.2">
      <c r="A77" s="444" t="s">
        <v>1016</v>
      </c>
      <c r="B77" s="579"/>
      <c r="C77" s="604"/>
      <c r="D77" s="604"/>
      <c r="E77" s="604"/>
      <c r="M77" s="76"/>
    </row>
    <row r="78" spans="1:16" s="40" customFormat="1" x14ac:dyDescent="0.2">
      <c r="A78" s="90" t="s">
        <v>1017</v>
      </c>
      <c r="B78" s="579"/>
      <c r="C78" s="604"/>
      <c r="D78" s="604"/>
      <c r="E78" s="604"/>
      <c r="M78" s="76"/>
    </row>
    <row r="79" spans="1:16" s="40" customFormat="1" x14ac:dyDescent="0.2">
      <c r="A79" s="640" t="s">
        <v>1018</v>
      </c>
      <c r="B79" s="579"/>
      <c r="C79" s="604">
        <v>52652</v>
      </c>
      <c r="D79" s="604"/>
      <c r="E79" s="604">
        <v>58293</v>
      </c>
      <c r="G79" s="42">
        <v>55104</v>
      </c>
      <c r="I79" s="42">
        <v>61601</v>
      </c>
      <c r="K79" s="42">
        <v>61601</v>
      </c>
      <c r="M79" s="62"/>
    </row>
    <row r="80" spans="1:16" s="40" customFormat="1" x14ac:dyDescent="0.2">
      <c r="A80" s="640" t="s">
        <v>995</v>
      </c>
      <c r="B80" s="579"/>
      <c r="C80" s="604">
        <v>12513</v>
      </c>
      <c r="D80" s="604"/>
      <c r="E80" s="604">
        <v>12790</v>
      </c>
      <c r="G80" s="42">
        <v>12693</v>
      </c>
      <c r="I80" s="42">
        <v>13149</v>
      </c>
      <c r="K80" s="42">
        <v>13149</v>
      </c>
      <c r="M80" s="62"/>
    </row>
    <row r="81" spans="1:14" s="40" customFormat="1" x14ac:dyDescent="0.2">
      <c r="A81" s="640" t="s">
        <v>1019</v>
      </c>
      <c r="B81" s="579"/>
      <c r="C81" s="604">
        <v>7460</v>
      </c>
      <c r="D81" s="604"/>
      <c r="E81" s="604">
        <v>7676</v>
      </c>
      <c r="G81" s="42">
        <v>7295</v>
      </c>
      <c r="I81" s="42">
        <v>8073</v>
      </c>
      <c r="K81" s="42">
        <v>8073</v>
      </c>
      <c r="M81" s="62"/>
    </row>
    <row r="82" spans="1:14" s="40" customFormat="1" x14ac:dyDescent="0.2">
      <c r="A82" s="640" t="s">
        <v>1020</v>
      </c>
      <c r="B82" s="579"/>
      <c r="C82" s="604">
        <v>511</v>
      </c>
      <c r="D82" s="604"/>
      <c r="E82" s="604">
        <v>363</v>
      </c>
      <c r="G82" s="42">
        <v>284</v>
      </c>
      <c r="I82" s="42">
        <v>399</v>
      </c>
      <c r="K82" s="42">
        <v>399</v>
      </c>
      <c r="M82" s="62"/>
    </row>
    <row r="83" spans="1:14" s="40" customFormat="1" ht="15" x14ac:dyDescent="0.25">
      <c r="A83" s="640" t="s">
        <v>1021</v>
      </c>
      <c r="B83" s="579"/>
      <c r="C83" s="604">
        <f t="shared" ref="C83" si="2">SUM(C79:C82)</f>
        <v>73136</v>
      </c>
      <c r="D83" s="604"/>
      <c r="E83" s="604">
        <f>SUM(E79:E82)</f>
        <v>79122</v>
      </c>
      <c r="F83" s="604"/>
      <c r="G83" s="604">
        <f>SUM(G79:G82)</f>
        <v>75376</v>
      </c>
      <c r="H83" s="641"/>
      <c r="I83" s="604">
        <f t="shared" ref="I83" si="3">SUM(I79:I82)</f>
        <v>83222</v>
      </c>
      <c r="J83" s="641"/>
      <c r="K83" s="42">
        <f>SUM(K79:K82)</f>
        <v>83222</v>
      </c>
      <c r="M83" s="641"/>
      <c r="N83" s="641"/>
    </row>
    <row r="84" spans="1:14" s="40" customFormat="1" x14ac:dyDescent="0.2">
      <c r="A84" s="90" t="s">
        <v>1022</v>
      </c>
      <c r="B84" s="579"/>
      <c r="C84" s="604"/>
      <c r="D84" s="604"/>
      <c r="E84" s="604"/>
      <c r="M84" s="76"/>
    </row>
    <row r="85" spans="1:14" s="40" customFormat="1" x14ac:dyDescent="0.2">
      <c r="A85" s="640" t="s">
        <v>1023</v>
      </c>
      <c r="B85" s="579"/>
      <c r="C85" s="604">
        <v>19989</v>
      </c>
      <c r="D85" s="604"/>
      <c r="E85" s="604">
        <v>21399</v>
      </c>
      <c r="G85" s="42">
        <v>20678</v>
      </c>
      <c r="I85" s="42">
        <v>22046</v>
      </c>
      <c r="K85" s="42">
        <v>22046</v>
      </c>
      <c r="M85" s="62"/>
    </row>
    <row r="86" spans="1:14" s="40" customFormat="1" x14ac:dyDescent="0.2">
      <c r="A86" s="640" t="s">
        <v>1024</v>
      </c>
      <c r="B86" s="579"/>
      <c r="C86" s="604">
        <v>31201</v>
      </c>
      <c r="D86" s="604"/>
      <c r="E86" s="604">
        <v>34764</v>
      </c>
      <c r="G86" s="42">
        <v>32987</v>
      </c>
      <c r="I86" s="42">
        <v>37211</v>
      </c>
      <c r="K86" s="42">
        <v>37211</v>
      </c>
      <c r="M86" s="62"/>
    </row>
    <row r="87" spans="1:14" s="40" customFormat="1" x14ac:dyDescent="0.2">
      <c r="A87" s="640" t="s">
        <v>1025</v>
      </c>
      <c r="B87" s="579"/>
      <c r="C87" s="604">
        <v>5227</v>
      </c>
      <c r="D87" s="604"/>
      <c r="E87" s="604">
        <v>5154</v>
      </c>
      <c r="G87" s="42">
        <v>5018</v>
      </c>
      <c r="I87" s="42">
        <v>5409</v>
      </c>
      <c r="K87" s="42">
        <v>5409</v>
      </c>
      <c r="M87" s="62"/>
    </row>
    <row r="88" spans="1:14" s="40" customFormat="1" x14ac:dyDescent="0.2">
      <c r="A88" s="640" t="s">
        <v>1026</v>
      </c>
      <c r="B88" s="579"/>
      <c r="C88" s="604">
        <v>16480</v>
      </c>
      <c r="D88" s="604"/>
      <c r="E88" s="604">
        <v>17634</v>
      </c>
      <c r="G88" s="42">
        <v>16441</v>
      </c>
      <c r="I88" s="42">
        <v>18392</v>
      </c>
      <c r="K88" s="42">
        <v>18392</v>
      </c>
      <c r="M88" s="62"/>
    </row>
    <row r="89" spans="1:14" s="40" customFormat="1" x14ac:dyDescent="0.2">
      <c r="A89" s="640" t="s">
        <v>1027</v>
      </c>
      <c r="B89" s="579"/>
      <c r="C89" s="604">
        <v>239</v>
      </c>
      <c r="D89" s="604"/>
      <c r="E89" s="604">
        <v>171</v>
      </c>
      <c r="G89" s="42">
        <v>252</v>
      </c>
      <c r="I89" s="42">
        <v>164</v>
      </c>
      <c r="K89" s="42">
        <v>164</v>
      </c>
      <c r="M89" s="62"/>
    </row>
    <row r="90" spans="1:14" s="40" customFormat="1" x14ac:dyDescent="0.2">
      <c r="A90" s="640" t="s">
        <v>1021</v>
      </c>
      <c r="B90" s="579"/>
      <c r="C90" s="642">
        <f>SUM(C85:C89)</f>
        <v>73136</v>
      </c>
      <c r="D90" s="642"/>
      <c r="E90" s="642">
        <f>SUM(E85:E89)</f>
        <v>79122</v>
      </c>
      <c r="F90" s="642"/>
      <c r="G90" s="642">
        <f>SUM(G85:G89)</f>
        <v>75376</v>
      </c>
      <c r="H90" s="77"/>
      <c r="I90" s="642">
        <f t="shared" ref="I90" si="4">SUM(I85:I89)</f>
        <v>83222</v>
      </c>
      <c r="J90" s="77"/>
      <c r="K90" s="642">
        <f>SUM(K85:K89)</f>
        <v>83222</v>
      </c>
      <c r="M90" s="76"/>
    </row>
    <row r="91" spans="1:14" s="40" customFormat="1" x14ac:dyDescent="0.2">
      <c r="A91" s="444" t="s">
        <v>989</v>
      </c>
      <c r="B91" s="579"/>
      <c r="C91" s="604"/>
      <c r="D91" s="604"/>
      <c r="E91" s="604"/>
      <c r="M91" s="76"/>
    </row>
    <row r="92" spans="1:14" s="40" customFormat="1" x14ac:dyDescent="0.2">
      <c r="A92" s="90" t="s">
        <v>1017</v>
      </c>
      <c r="B92" s="579"/>
      <c r="C92" s="604"/>
      <c r="D92" s="604"/>
      <c r="E92" s="604"/>
      <c r="M92" s="76"/>
    </row>
    <row r="93" spans="1:14" s="40" customFormat="1" x14ac:dyDescent="0.2">
      <c r="A93" s="640" t="s">
        <v>1018</v>
      </c>
      <c r="B93" s="579"/>
      <c r="C93" s="604">
        <v>74028</v>
      </c>
      <c r="D93" s="604"/>
      <c r="E93" s="604">
        <v>77060</v>
      </c>
      <c r="G93" s="42">
        <v>78052</v>
      </c>
      <c r="I93" s="42">
        <v>79417</v>
      </c>
      <c r="K93" s="42">
        <v>79417</v>
      </c>
      <c r="M93" s="62"/>
    </row>
    <row r="94" spans="1:14" s="40" customFormat="1" x14ac:dyDescent="0.2">
      <c r="A94" s="640" t="s">
        <v>995</v>
      </c>
      <c r="B94" s="579"/>
      <c r="C94" s="604">
        <v>12452</v>
      </c>
      <c r="D94" s="604"/>
      <c r="E94" s="604">
        <v>12677</v>
      </c>
      <c r="F94" s="604"/>
      <c r="G94" s="604">
        <v>12614</v>
      </c>
      <c r="I94" s="604">
        <v>13144</v>
      </c>
      <c r="K94" s="604">
        <v>13144</v>
      </c>
      <c r="M94" s="62"/>
    </row>
    <row r="95" spans="1:14" s="40" customFormat="1" x14ac:dyDescent="0.2">
      <c r="A95" s="640" t="s">
        <v>1019</v>
      </c>
      <c r="B95" s="579"/>
      <c r="C95" s="604">
        <v>7895</v>
      </c>
      <c r="D95" s="604"/>
      <c r="E95" s="604">
        <v>7906</v>
      </c>
      <c r="F95" s="604"/>
      <c r="G95" s="604">
        <v>7834</v>
      </c>
      <c r="I95" s="604">
        <v>8097</v>
      </c>
      <c r="K95" s="604">
        <v>8097</v>
      </c>
      <c r="M95" s="62"/>
    </row>
    <row r="96" spans="1:14" s="40" customFormat="1" x14ac:dyDescent="0.2">
      <c r="A96" s="640" t="s">
        <v>1020</v>
      </c>
      <c r="B96" s="579"/>
      <c r="C96" s="604">
        <v>1728</v>
      </c>
      <c r="D96" s="604"/>
      <c r="E96" s="604">
        <v>1491</v>
      </c>
      <c r="F96" s="604"/>
      <c r="G96" s="604">
        <v>1912</v>
      </c>
      <c r="I96" s="604">
        <v>1563</v>
      </c>
      <c r="K96" s="604">
        <v>1563</v>
      </c>
      <c r="M96" s="62"/>
    </row>
    <row r="97" spans="1:15" s="40" customFormat="1" x14ac:dyDescent="0.2">
      <c r="A97" s="640" t="s">
        <v>1021</v>
      </c>
      <c r="B97" s="579"/>
      <c r="C97" s="604">
        <f>SUM(C93:C96)</f>
        <v>96103</v>
      </c>
      <c r="D97" s="604"/>
      <c r="E97" s="604">
        <f t="shared" ref="E97:K97" si="5">SUM(E93:E96)</f>
        <v>99134</v>
      </c>
      <c r="F97" s="604"/>
      <c r="G97" s="604">
        <f t="shared" si="5"/>
        <v>100412</v>
      </c>
      <c r="H97" s="604">
        <f t="shared" si="5"/>
        <v>0</v>
      </c>
      <c r="I97" s="604">
        <f t="shared" si="5"/>
        <v>102221</v>
      </c>
      <c r="J97" s="604"/>
      <c r="K97" s="604">
        <f t="shared" si="5"/>
        <v>102221</v>
      </c>
      <c r="M97" s="62"/>
    </row>
    <row r="98" spans="1:15" s="40" customFormat="1" x14ac:dyDescent="0.2">
      <c r="A98" s="90" t="s">
        <v>1022</v>
      </c>
      <c r="B98" s="579"/>
      <c r="C98" s="604"/>
      <c r="D98" s="604"/>
      <c r="E98" s="604"/>
      <c r="F98" s="604"/>
      <c r="G98" s="604"/>
      <c r="I98" s="604"/>
      <c r="M98" s="76"/>
    </row>
    <row r="99" spans="1:15" s="40" customFormat="1" x14ac:dyDescent="0.2">
      <c r="A99" s="640" t="s">
        <v>1023</v>
      </c>
      <c r="B99" s="579"/>
      <c r="C99" s="604">
        <v>25407</v>
      </c>
      <c r="D99" s="604"/>
      <c r="E99" s="604">
        <v>26755</v>
      </c>
      <c r="F99" s="604"/>
      <c r="G99" s="604">
        <v>26594</v>
      </c>
      <c r="I99" s="604">
        <v>27575</v>
      </c>
      <c r="K99" s="604">
        <v>27575</v>
      </c>
      <c r="M99" s="62"/>
    </row>
    <row r="100" spans="1:15" s="40" customFormat="1" x14ac:dyDescent="0.2">
      <c r="A100" s="640" t="s">
        <v>1024</v>
      </c>
      <c r="B100" s="579"/>
      <c r="C100" s="604">
        <v>34080</v>
      </c>
      <c r="D100" s="604"/>
      <c r="E100" s="604">
        <v>35971</v>
      </c>
      <c r="F100" s="604"/>
      <c r="G100" s="604">
        <v>35975</v>
      </c>
      <c r="I100" s="604">
        <v>36308</v>
      </c>
      <c r="K100" s="604">
        <v>36308</v>
      </c>
      <c r="M100" s="62"/>
    </row>
    <row r="101" spans="1:15" s="40" customFormat="1" x14ac:dyDescent="0.2">
      <c r="A101" s="640" t="s">
        <v>1025</v>
      </c>
      <c r="B101" s="579"/>
      <c r="C101" s="604">
        <v>7273</v>
      </c>
      <c r="D101" s="604"/>
      <c r="E101" s="604">
        <v>7201</v>
      </c>
      <c r="F101" s="604"/>
      <c r="G101" s="604">
        <v>7286</v>
      </c>
      <c r="I101" s="604">
        <v>7399</v>
      </c>
      <c r="K101" s="604">
        <v>7399</v>
      </c>
      <c r="M101" s="62"/>
    </row>
    <row r="102" spans="1:15" s="40" customFormat="1" x14ac:dyDescent="0.2">
      <c r="A102" s="640" t="s">
        <v>1026</v>
      </c>
      <c r="B102" s="579"/>
      <c r="C102" s="604">
        <v>20932</v>
      </c>
      <c r="D102" s="604"/>
      <c r="E102" s="604">
        <v>21550</v>
      </c>
      <c r="F102" s="604"/>
      <c r="G102" s="604">
        <v>21312</v>
      </c>
      <c r="I102" s="604">
        <v>21693</v>
      </c>
      <c r="K102" s="604">
        <v>21693</v>
      </c>
      <c r="M102" s="62"/>
    </row>
    <row r="103" spans="1:15" s="40" customFormat="1" x14ac:dyDescent="0.2">
      <c r="A103" s="640" t="s">
        <v>1027</v>
      </c>
      <c r="B103" s="579"/>
      <c r="C103" s="604">
        <v>2785</v>
      </c>
      <c r="D103" s="604"/>
      <c r="E103" s="604">
        <v>1698</v>
      </c>
      <c r="F103" s="604"/>
      <c r="G103" s="604">
        <v>2185</v>
      </c>
      <c r="I103" s="604">
        <v>1746</v>
      </c>
      <c r="K103" s="604">
        <v>1746</v>
      </c>
      <c r="M103" s="62"/>
    </row>
    <row r="104" spans="1:15" s="40" customFormat="1" x14ac:dyDescent="0.2">
      <c r="A104" s="640"/>
      <c r="B104" s="579"/>
      <c r="C104" s="604"/>
      <c r="D104" s="604"/>
      <c r="E104" s="604"/>
      <c r="F104" s="604"/>
      <c r="G104" s="604"/>
      <c r="I104" s="604"/>
      <c r="K104" s="604"/>
      <c r="M104" s="62"/>
    </row>
    <row r="105" spans="1:15" s="40" customFormat="1" x14ac:dyDescent="0.2">
      <c r="A105" s="643" t="s">
        <v>1028</v>
      </c>
      <c r="B105" s="579"/>
      <c r="C105" s="604">
        <f>SUM(C99:C104)</f>
        <v>90477</v>
      </c>
      <c r="D105" s="604"/>
      <c r="E105" s="604">
        <v>93175</v>
      </c>
      <c r="F105" s="604"/>
      <c r="G105" s="604">
        <v>93352</v>
      </c>
      <c r="H105" s="40">
        <v>0</v>
      </c>
      <c r="I105" s="604">
        <v>94721</v>
      </c>
      <c r="K105" s="42">
        <v>94721</v>
      </c>
      <c r="M105" s="62"/>
    </row>
    <row r="106" spans="1:15" s="40" customFormat="1" ht="15" x14ac:dyDescent="0.25">
      <c r="A106" s="578"/>
      <c r="B106" s="579"/>
      <c r="C106" s="641"/>
      <c r="D106" s="641"/>
      <c r="E106" s="641"/>
      <c r="M106" s="76"/>
    </row>
    <row r="107" spans="1:15" s="37" customFormat="1" ht="15" x14ac:dyDescent="0.25">
      <c r="A107" s="123" t="s">
        <v>194</v>
      </c>
      <c r="B107" s="644"/>
      <c r="C107" s="641"/>
      <c r="D107" s="641"/>
      <c r="E107" s="641"/>
      <c r="M107" s="108"/>
      <c r="O107" s="401"/>
    </row>
    <row r="108" spans="1:15" s="37" customFormat="1" ht="15" x14ac:dyDescent="0.25">
      <c r="A108" s="123" t="s">
        <v>195</v>
      </c>
      <c r="B108" s="644"/>
      <c r="C108" s="641"/>
      <c r="D108" s="641"/>
      <c r="E108" s="641"/>
    </row>
    <row r="109" spans="1:15" s="40" customFormat="1" ht="15" x14ac:dyDescent="0.25">
      <c r="A109" s="645" t="s">
        <v>196</v>
      </c>
      <c r="B109" s="117"/>
      <c r="C109" s="641"/>
      <c r="D109" s="641"/>
      <c r="E109" s="641"/>
    </row>
    <row r="110" spans="1:15" s="40" customFormat="1" x14ac:dyDescent="0.2">
      <c r="A110" s="124" t="s">
        <v>197</v>
      </c>
      <c r="B110" s="117"/>
      <c r="C110" s="642">
        <v>138</v>
      </c>
      <c r="D110" s="642"/>
      <c r="E110" s="642">
        <v>137</v>
      </c>
      <c r="G110" s="77">
        <v>138</v>
      </c>
      <c r="I110" s="642">
        <v>155</v>
      </c>
      <c r="K110" s="642">
        <v>157</v>
      </c>
      <c r="M110" s="646"/>
      <c r="N110" s="646"/>
      <c r="O110" s="646"/>
    </row>
    <row r="111" spans="1:15" s="40" customFormat="1" x14ac:dyDescent="0.2">
      <c r="A111" s="124" t="s">
        <v>564</v>
      </c>
      <c r="B111" s="117"/>
      <c r="C111" s="642">
        <v>56</v>
      </c>
      <c r="D111" s="642"/>
      <c r="E111" s="642">
        <v>52</v>
      </c>
      <c r="G111" s="77">
        <v>49</v>
      </c>
      <c r="I111" s="642">
        <v>45</v>
      </c>
      <c r="K111" s="642">
        <v>46</v>
      </c>
      <c r="M111" s="76"/>
    </row>
    <row r="112" spans="1:15" s="40" customFormat="1" x14ac:dyDescent="0.2">
      <c r="A112" s="124" t="s">
        <v>262</v>
      </c>
      <c r="B112" s="117"/>
      <c r="C112" s="642">
        <v>19</v>
      </c>
      <c r="D112" s="642"/>
      <c r="E112" s="642">
        <v>17</v>
      </c>
      <c r="G112" s="77">
        <v>16</v>
      </c>
      <c r="I112" s="642">
        <v>16</v>
      </c>
      <c r="K112" s="642">
        <v>16</v>
      </c>
      <c r="M112" s="76"/>
    </row>
    <row r="113" spans="1:20" s="40" customFormat="1" x14ac:dyDescent="0.2">
      <c r="A113" s="124" t="s">
        <v>198</v>
      </c>
      <c r="B113" s="117"/>
      <c r="C113" s="642">
        <f>SUM(C110:C112)</f>
        <v>213</v>
      </c>
      <c r="D113" s="642"/>
      <c r="E113" s="642">
        <f>SUM(E110:E112)</f>
        <v>206</v>
      </c>
      <c r="F113" s="112"/>
      <c r="G113" s="77">
        <f>SUM(G110:G112)</f>
        <v>203</v>
      </c>
      <c r="I113" s="642">
        <f>SUM(I110:I112)</f>
        <v>216</v>
      </c>
      <c r="K113" s="642">
        <f>SUM(K110:K112)</f>
        <v>219</v>
      </c>
      <c r="M113" s="112"/>
      <c r="N113" s="112"/>
    </row>
    <row r="114" spans="1:20" s="40" customFormat="1" x14ac:dyDescent="0.2">
      <c r="A114" s="645" t="s">
        <v>199</v>
      </c>
      <c r="B114" s="117"/>
      <c r="C114" s="642"/>
      <c r="D114" s="642"/>
      <c r="E114" s="642"/>
      <c r="I114" s="642"/>
      <c r="K114" s="642"/>
      <c r="M114" s="64"/>
    </row>
    <row r="115" spans="1:20" s="40" customFormat="1" x14ac:dyDescent="0.2">
      <c r="A115" s="124" t="s">
        <v>982</v>
      </c>
      <c r="B115" s="117"/>
      <c r="C115" s="642">
        <v>1</v>
      </c>
      <c r="D115" s="642"/>
      <c r="E115" s="642">
        <v>1</v>
      </c>
      <c r="G115" s="77">
        <v>1</v>
      </c>
      <c r="I115" s="642">
        <v>0</v>
      </c>
      <c r="K115" s="642">
        <v>1</v>
      </c>
      <c r="M115" s="76"/>
    </row>
    <row r="116" spans="1:20" s="40" customFormat="1" x14ac:dyDescent="0.2">
      <c r="A116" s="124" t="s">
        <v>1029</v>
      </c>
      <c r="B116" s="117"/>
      <c r="C116" s="642">
        <v>78</v>
      </c>
      <c r="D116" s="642"/>
      <c r="E116" s="642">
        <v>71</v>
      </c>
      <c r="G116" s="77">
        <v>67</v>
      </c>
      <c r="I116" s="642">
        <v>63</v>
      </c>
      <c r="K116" s="642">
        <v>62</v>
      </c>
      <c r="M116" s="76"/>
    </row>
    <row r="117" spans="1:20" s="40" customFormat="1" x14ac:dyDescent="0.2">
      <c r="A117" s="124" t="s">
        <v>263</v>
      </c>
      <c r="B117" s="117"/>
      <c r="C117" s="642">
        <v>134</v>
      </c>
      <c r="D117" s="642"/>
      <c r="E117" s="642">
        <v>134</v>
      </c>
      <c r="G117" s="77">
        <v>135</v>
      </c>
      <c r="I117" s="642">
        <v>153</v>
      </c>
      <c r="K117" s="642">
        <v>156</v>
      </c>
      <c r="M117" s="76"/>
    </row>
    <row r="118" spans="1:20" s="40" customFormat="1" x14ac:dyDescent="0.2">
      <c r="A118" s="41" t="s">
        <v>198</v>
      </c>
      <c r="B118" s="39"/>
      <c r="C118" s="642">
        <f>SUM(C115:C117)</f>
        <v>213</v>
      </c>
      <c r="D118" s="642"/>
      <c r="E118" s="642">
        <f>SUM(E115:E117)</f>
        <v>206</v>
      </c>
      <c r="F118" s="76"/>
      <c r="G118" s="77">
        <f>SUM(G115:G117)</f>
        <v>203</v>
      </c>
      <c r="I118" s="642">
        <f>SUM(I115:I117)</f>
        <v>216</v>
      </c>
      <c r="K118" s="642">
        <f>SUM(K115:K117)</f>
        <v>219</v>
      </c>
      <c r="M118" s="76"/>
      <c r="N118" s="76"/>
    </row>
    <row r="119" spans="1:20" s="48" customFormat="1" ht="15" x14ac:dyDescent="0.25">
      <c r="A119" s="46"/>
      <c r="B119" s="47"/>
      <c r="C119" s="641"/>
      <c r="D119" s="641"/>
      <c r="E119" s="641"/>
      <c r="I119" s="642"/>
      <c r="M119" s="331"/>
    </row>
    <row r="120" spans="1:20" s="48" customFormat="1" x14ac:dyDescent="0.2">
      <c r="A120" s="49" t="s">
        <v>200</v>
      </c>
      <c r="B120" s="50"/>
      <c r="D120" s="647"/>
      <c r="E120" s="1426"/>
      <c r="F120" s="1426"/>
      <c r="G120" s="648"/>
      <c r="H120" s="648"/>
      <c r="I120" s="649"/>
      <c r="J120" s="1426"/>
      <c r="K120" s="649"/>
      <c r="L120" s="52"/>
      <c r="M120" s="51"/>
      <c r="N120" s="52"/>
    </row>
    <row r="121" spans="1:20" ht="30" customHeight="1" x14ac:dyDescent="0.2">
      <c r="A121" s="1787" t="s">
        <v>524</v>
      </c>
      <c r="B121" s="1787"/>
      <c r="C121" s="1787"/>
      <c r="D121" s="1787"/>
      <c r="E121" s="1787"/>
      <c r="F121" s="1787"/>
      <c r="G121" s="1787"/>
      <c r="H121" s="1787"/>
      <c r="I121" s="1787"/>
      <c r="J121" s="1787"/>
      <c r="K121" s="1787"/>
      <c r="L121" s="1787"/>
      <c r="M121" s="1787"/>
      <c r="N121" s="1787"/>
      <c r="O121" s="54"/>
      <c r="P121" s="54"/>
      <c r="Q121" s="951"/>
    </row>
    <row r="122" spans="1:20" ht="42.75" customHeight="1" x14ac:dyDescent="0.2">
      <c r="A122" s="1787" t="s">
        <v>1030</v>
      </c>
      <c r="B122" s="1787"/>
      <c r="C122" s="1787"/>
      <c r="D122" s="1787"/>
      <c r="E122" s="1787"/>
      <c r="F122" s="1787"/>
      <c r="G122" s="1787"/>
      <c r="H122" s="1787"/>
      <c r="I122" s="1787"/>
      <c r="J122" s="1787"/>
      <c r="K122" s="1787"/>
      <c r="L122" s="1787"/>
      <c r="M122" s="650"/>
      <c r="N122" s="650"/>
      <c r="O122" s="650"/>
      <c r="P122" s="650"/>
      <c r="Q122" s="650"/>
      <c r="R122" s="650"/>
      <c r="S122" s="650"/>
      <c r="T122" s="650"/>
    </row>
    <row r="123" spans="1:20" ht="42.75" customHeight="1" x14ac:dyDescent="0.2">
      <c r="A123" s="1738" t="s">
        <v>1031</v>
      </c>
      <c r="B123" s="1738"/>
      <c r="C123" s="1738"/>
      <c r="D123" s="1738"/>
      <c r="E123" s="1738"/>
      <c r="F123" s="1738"/>
      <c r="G123" s="1738"/>
      <c r="H123" s="1738"/>
      <c r="I123" s="1738"/>
      <c r="J123" s="1738"/>
      <c r="K123" s="1738"/>
      <c r="L123" s="1738"/>
      <c r="M123" s="1738"/>
      <c r="N123" s="1738"/>
      <c r="O123" s="54"/>
      <c r="P123" s="54"/>
    </row>
    <row r="124" spans="1:20" ht="28.5" customHeight="1" x14ac:dyDescent="0.2">
      <c r="A124" s="1738" t="s">
        <v>1032</v>
      </c>
      <c r="B124" s="1738"/>
      <c r="C124" s="1738"/>
      <c r="D124" s="1738"/>
      <c r="E124" s="1738"/>
      <c r="F124" s="1738"/>
      <c r="G124" s="1738"/>
      <c r="H124" s="1738"/>
      <c r="I124" s="1738"/>
      <c r="J124" s="1738"/>
      <c r="K124" s="1738"/>
      <c r="L124" s="1738"/>
      <c r="M124" s="1738"/>
      <c r="N124" s="1738"/>
      <c r="O124" s="329"/>
    </row>
    <row r="125" spans="1:20" ht="28.5" customHeight="1" x14ac:dyDescent="0.2">
      <c r="A125" s="1738" t="s">
        <v>1033</v>
      </c>
      <c r="B125" s="1738"/>
      <c r="C125" s="1738"/>
      <c r="D125" s="1738"/>
      <c r="E125" s="1738"/>
      <c r="F125" s="1738"/>
      <c r="G125" s="1738"/>
      <c r="H125" s="1738"/>
      <c r="I125" s="1738"/>
      <c r="J125" s="1738"/>
      <c r="K125" s="1738"/>
      <c r="L125" s="1738"/>
      <c r="M125" s="1738"/>
      <c r="N125" s="1738"/>
      <c r="O125" s="329"/>
    </row>
    <row r="126" spans="1:20" ht="27.75" customHeight="1" x14ac:dyDescent="0.2">
      <c r="A126" s="1738" t="s">
        <v>1034</v>
      </c>
      <c r="B126" s="1738"/>
      <c r="C126" s="1738"/>
      <c r="D126" s="1738"/>
      <c r="E126" s="1738"/>
      <c r="F126" s="1738"/>
      <c r="G126" s="1738"/>
      <c r="H126" s="1738"/>
      <c r="I126" s="1738"/>
      <c r="J126" s="1738"/>
      <c r="K126" s="1738"/>
      <c r="L126" s="1738"/>
      <c r="M126" s="1738"/>
      <c r="N126" s="1738"/>
      <c r="O126" s="329"/>
    </row>
    <row r="127" spans="1:20" ht="32.25" customHeight="1" x14ac:dyDescent="0.2">
      <c r="A127" s="1738" t="s">
        <v>1035</v>
      </c>
      <c r="B127" s="1738"/>
      <c r="C127" s="1738"/>
      <c r="D127" s="1738"/>
      <c r="E127" s="1738"/>
      <c r="F127" s="1738"/>
      <c r="G127" s="1738"/>
      <c r="H127" s="1738"/>
      <c r="I127" s="1738"/>
      <c r="J127" s="1738"/>
      <c r="K127" s="1738"/>
      <c r="L127" s="1738"/>
      <c r="M127" s="1738"/>
      <c r="N127" s="1738"/>
    </row>
    <row r="128" spans="1:20" ht="15" customHeight="1" x14ac:dyDescent="0.2">
      <c r="A128" s="1738"/>
      <c r="B128" s="1738"/>
      <c r="C128" s="1738"/>
      <c r="D128" s="1738"/>
      <c r="E128" s="1738"/>
      <c r="F128" s="1738"/>
      <c r="G128" s="1738"/>
      <c r="H128" s="1738"/>
      <c r="I128" s="1738"/>
      <c r="J128" s="1738"/>
      <c r="K128" s="1738"/>
      <c r="L128" s="1738"/>
      <c r="M128" s="1738"/>
      <c r="N128" s="1738"/>
      <c r="O128" s="54"/>
      <c r="P128" s="54"/>
    </row>
    <row r="129" spans="1:17" ht="75" customHeight="1" x14ac:dyDescent="0.2">
      <c r="A129" s="1786"/>
      <c r="B129" s="1786"/>
      <c r="C129" s="1786"/>
      <c r="D129" s="1786"/>
      <c r="E129" s="1786"/>
      <c r="F129" s="1786"/>
      <c r="G129" s="1786"/>
      <c r="H129" s="1786"/>
      <c r="I129" s="1786"/>
      <c r="J129" s="1786"/>
      <c r="K129" s="1786"/>
      <c r="L129" s="1786"/>
      <c r="M129" s="651"/>
      <c r="N129" s="651"/>
      <c r="O129" s="54"/>
      <c r="P129" s="54"/>
    </row>
    <row r="130" spans="1:17" ht="27.75" customHeight="1" x14ac:dyDescent="0.2">
      <c r="A130" s="329"/>
      <c r="B130" s="330"/>
      <c r="C130" s="330"/>
      <c r="D130" s="330"/>
      <c r="E130" s="330"/>
      <c r="F130" s="330"/>
      <c r="G130" s="330"/>
      <c r="H130" s="330"/>
      <c r="I130" s="330"/>
      <c r="J130" s="330"/>
      <c r="K130" s="330"/>
      <c r="L130" s="330"/>
      <c r="M130" s="330"/>
      <c r="N130" s="330"/>
      <c r="O130" s="54"/>
      <c r="P130" s="54"/>
    </row>
    <row r="131" spans="1:17" ht="27.75" customHeight="1" x14ac:dyDescent="0.2">
      <c r="A131" s="372"/>
      <c r="B131" s="54"/>
      <c r="C131" s="56"/>
      <c r="D131" s="54"/>
      <c r="E131" s="56"/>
      <c r="F131" s="54"/>
      <c r="G131" s="56"/>
      <c r="H131" s="54"/>
      <c r="I131" s="652"/>
      <c r="J131" s="54"/>
      <c r="K131" s="652"/>
      <c r="L131" s="54"/>
      <c r="M131" s="330"/>
      <c r="N131" s="330"/>
      <c r="O131" s="54"/>
      <c r="P131" s="54"/>
    </row>
    <row r="132" spans="1:17" x14ac:dyDescent="0.2">
      <c r="A132" s="372"/>
      <c r="B132" s="54"/>
      <c r="C132" s="54"/>
      <c r="D132" s="54"/>
      <c r="E132" s="54"/>
      <c r="F132" s="54"/>
      <c r="G132" s="54"/>
      <c r="H132" s="54"/>
      <c r="I132" s="649"/>
      <c r="J132" s="54"/>
      <c r="K132" s="649"/>
      <c r="L132" s="54"/>
      <c r="M132" s="56"/>
      <c r="N132" s="54"/>
      <c r="O132" s="54"/>
      <c r="P132" s="54"/>
    </row>
    <row r="133" spans="1:17" x14ac:dyDescent="0.2">
      <c r="A133" s="275"/>
      <c r="B133" s="54"/>
      <c r="C133" s="56"/>
      <c r="D133" s="54"/>
      <c r="E133" s="56"/>
      <c r="F133" s="54"/>
      <c r="G133" s="56"/>
      <c r="H133" s="54"/>
      <c r="I133" s="652"/>
      <c r="J133" s="54"/>
      <c r="K133" s="652"/>
      <c r="L133" s="54"/>
      <c r="M133" s="54"/>
      <c r="N133" s="54"/>
      <c r="O133" s="54"/>
      <c r="P133" s="54"/>
    </row>
    <row r="134" spans="1:17" x14ac:dyDescent="0.2">
      <c r="A134" s="275"/>
      <c r="B134" s="54"/>
      <c r="C134" s="54"/>
      <c r="D134" s="54"/>
      <c r="E134" s="54"/>
      <c r="F134" s="54"/>
      <c r="G134" s="54"/>
      <c r="H134" s="54"/>
      <c r="I134" s="649"/>
      <c r="J134" s="54"/>
      <c r="K134" s="649"/>
      <c r="L134" s="54"/>
      <c r="M134" s="56"/>
      <c r="N134" s="54"/>
      <c r="O134" s="54"/>
      <c r="P134" s="54"/>
    </row>
    <row r="135" spans="1:17" x14ac:dyDescent="0.2">
      <c r="A135" s="275"/>
      <c r="B135" s="54"/>
      <c r="C135" s="56"/>
      <c r="D135" s="54"/>
      <c r="E135" s="56"/>
      <c r="F135" s="54"/>
      <c r="G135" s="56"/>
      <c r="H135" s="54"/>
      <c r="I135" s="652"/>
      <c r="J135" s="54"/>
      <c r="K135" s="652"/>
      <c r="L135" s="54"/>
      <c r="M135" s="54"/>
      <c r="N135" s="54"/>
      <c r="O135" s="54"/>
      <c r="P135" s="54"/>
    </row>
    <row r="136" spans="1:17" x14ac:dyDescent="0.2">
      <c r="A136" s="275"/>
      <c r="B136" s="54"/>
      <c r="C136" s="54"/>
      <c r="D136" s="54"/>
      <c r="E136" s="54"/>
      <c r="F136" s="54"/>
      <c r="G136" s="54"/>
      <c r="H136" s="54"/>
      <c r="I136" s="649"/>
      <c r="J136" s="54"/>
      <c r="K136" s="649"/>
      <c r="L136" s="54"/>
      <c r="M136" s="56"/>
      <c r="N136" s="54"/>
      <c r="O136" s="54"/>
      <c r="P136" s="54"/>
    </row>
    <row r="137" spans="1:17" x14ac:dyDescent="0.2">
      <c r="A137" s="275"/>
      <c r="B137" s="54"/>
      <c r="C137" s="54"/>
      <c r="D137" s="54"/>
      <c r="E137" s="54"/>
      <c r="F137" s="54"/>
      <c r="G137" s="54"/>
      <c r="H137" s="54"/>
      <c r="I137" s="649"/>
      <c r="J137" s="54"/>
      <c r="K137" s="649"/>
      <c r="L137" s="54"/>
      <c r="M137" s="54"/>
      <c r="N137" s="54"/>
      <c r="O137" s="54"/>
      <c r="P137" s="54"/>
    </row>
    <row r="138" spans="1:17" x14ac:dyDescent="0.2">
      <c r="A138" s="275"/>
      <c r="B138" s="54"/>
      <c r="C138" s="54"/>
      <c r="D138" s="54"/>
      <c r="E138" s="54"/>
      <c r="F138" s="54"/>
      <c r="G138" s="54"/>
      <c r="H138" s="54"/>
      <c r="I138" s="649"/>
      <c r="J138" s="54"/>
      <c r="K138" s="649"/>
      <c r="L138" s="54"/>
      <c r="M138" s="54"/>
      <c r="N138" s="54"/>
      <c r="O138" s="54"/>
      <c r="P138" s="54"/>
    </row>
    <row r="139" spans="1:17" x14ac:dyDescent="0.2">
      <c r="B139" s="25"/>
      <c r="C139" s="25"/>
      <c r="D139" s="25"/>
      <c r="E139" s="58"/>
      <c r="F139" s="58"/>
      <c r="G139" s="58"/>
      <c r="H139" s="58"/>
      <c r="M139" s="54"/>
      <c r="N139" s="54"/>
      <c r="O139" s="54"/>
      <c r="P139" s="54"/>
      <c r="Q139" s="57"/>
    </row>
    <row r="140" spans="1:17" x14ac:dyDescent="0.2">
      <c r="B140" s="25"/>
      <c r="C140" s="25"/>
      <c r="D140" s="25"/>
      <c r="E140" s="58"/>
      <c r="F140" s="58"/>
      <c r="G140" s="58"/>
      <c r="H140" s="58"/>
    </row>
    <row r="141" spans="1:17" x14ac:dyDescent="0.2">
      <c r="B141" s="25"/>
      <c r="C141" s="25"/>
      <c r="D141" s="25"/>
      <c r="E141" s="58"/>
      <c r="F141" s="58"/>
      <c r="G141" s="58"/>
      <c r="H141" s="58"/>
    </row>
    <row r="142" spans="1:17" x14ac:dyDescent="0.2">
      <c r="B142" s="25"/>
      <c r="C142" s="25"/>
      <c r="D142" s="25"/>
      <c r="E142" s="58"/>
      <c r="F142" s="58"/>
      <c r="G142" s="58"/>
      <c r="H142" s="58"/>
    </row>
    <row r="143" spans="1:17" x14ac:dyDescent="0.2">
      <c r="B143" s="25"/>
      <c r="C143" s="25"/>
      <c r="D143" s="25"/>
      <c r="E143" s="58"/>
      <c r="F143" s="58"/>
      <c r="G143" s="58"/>
      <c r="H143" s="58"/>
    </row>
    <row r="144" spans="1:17" x14ac:dyDescent="0.2">
      <c r="B144" s="25"/>
      <c r="C144" s="25"/>
      <c r="D144" s="25"/>
      <c r="E144" s="58"/>
      <c r="F144" s="58"/>
      <c r="G144" s="58"/>
      <c r="H144" s="58"/>
    </row>
    <row r="145" spans="2:8" x14ac:dyDescent="0.2">
      <c r="B145" s="25"/>
      <c r="C145" s="25"/>
      <c r="D145" s="25"/>
      <c r="E145" s="58"/>
      <c r="F145" s="58"/>
      <c r="G145" s="58"/>
      <c r="H145" s="58"/>
    </row>
    <row r="146" spans="2:8" x14ac:dyDescent="0.2">
      <c r="B146" s="25"/>
      <c r="C146" s="25"/>
      <c r="D146" s="25"/>
      <c r="E146" s="58"/>
      <c r="F146" s="58"/>
      <c r="G146" s="58"/>
      <c r="H146" s="58"/>
    </row>
    <row r="147" spans="2:8" x14ac:dyDescent="0.2">
      <c r="B147" s="25"/>
      <c r="C147" s="25"/>
      <c r="D147" s="25"/>
      <c r="E147" s="58"/>
      <c r="F147" s="58"/>
      <c r="G147" s="58"/>
      <c r="H147" s="58"/>
    </row>
    <row r="148" spans="2:8" x14ac:dyDescent="0.2">
      <c r="B148" s="25"/>
      <c r="C148" s="25"/>
      <c r="D148" s="25"/>
      <c r="E148" s="58"/>
      <c r="F148" s="58"/>
      <c r="G148" s="58"/>
      <c r="H148" s="58"/>
    </row>
    <row r="149" spans="2:8" x14ac:dyDescent="0.2">
      <c r="B149" s="25"/>
      <c r="C149" s="25"/>
      <c r="D149" s="25"/>
      <c r="E149" s="58"/>
      <c r="F149" s="58"/>
      <c r="G149" s="58"/>
      <c r="H149" s="58"/>
    </row>
    <row r="150" spans="2:8" x14ac:dyDescent="0.2">
      <c r="B150" s="25"/>
      <c r="C150" s="25"/>
      <c r="D150" s="25"/>
      <c r="E150" s="58"/>
      <c r="F150" s="58"/>
      <c r="G150" s="58"/>
      <c r="H150" s="58"/>
    </row>
    <row r="151" spans="2:8" x14ac:dyDescent="0.2">
      <c r="B151" s="25"/>
      <c r="C151" s="25"/>
      <c r="D151" s="25"/>
      <c r="E151" s="58"/>
      <c r="F151" s="58"/>
      <c r="G151" s="58"/>
      <c r="H151" s="58"/>
    </row>
    <row r="152" spans="2:8" x14ac:dyDescent="0.2">
      <c r="B152" s="25"/>
      <c r="C152" s="25"/>
      <c r="D152" s="25"/>
      <c r="E152" s="58"/>
      <c r="F152" s="58"/>
      <c r="G152" s="58"/>
      <c r="H152" s="58"/>
    </row>
    <row r="153" spans="2:8" x14ac:dyDescent="0.2">
      <c r="B153" s="25"/>
      <c r="C153" s="25"/>
      <c r="D153" s="25"/>
      <c r="E153" s="58"/>
      <c r="F153" s="58"/>
      <c r="G153" s="58"/>
      <c r="H153" s="58"/>
    </row>
    <row r="154" spans="2:8" x14ac:dyDescent="0.2">
      <c r="B154" s="25"/>
      <c r="C154" s="25"/>
      <c r="D154" s="25"/>
      <c r="E154" s="58"/>
      <c r="F154" s="58"/>
      <c r="G154" s="58"/>
      <c r="H154" s="58"/>
    </row>
    <row r="155" spans="2:8" x14ac:dyDescent="0.2">
      <c r="B155" s="25"/>
      <c r="C155" s="25"/>
      <c r="D155" s="25"/>
      <c r="E155" s="58"/>
      <c r="F155" s="58"/>
      <c r="G155" s="58"/>
      <c r="H155" s="58"/>
    </row>
    <row r="156" spans="2:8" x14ac:dyDescent="0.2">
      <c r="B156" s="25"/>
      <c r="C156" s="25"/>
      <c r="D156" s="25"/>
      <c r="E156" s="58"/>
      <c r="F156" s="58"/>
      <c r="G156" s="58"/>
      <c r="H156" s="58"/>
    </row>
    <row r="157" spans="2:8" x14ac:dyDescent="0.2">
      <c r="B157" s="25"/>
      <c r="C157" s="25"/>
      <c r="D157" s="25"/>
      <c r="E157" s="58"/>
      <c r="F157" s="58"/>
      <c r="G157" s="58"/>
      <c r="H157" s="58"/>
    </row>
    <row r="158" spans="2:8" x14ac:dyDescent="0.2">
      <c r="B158" s="25"/>
      <c r="C158" s="25"/>
      <c r="D158" s="25"/>
      <c r="E158" s="58"/>
      <c r="F158" s="58"/>
      <c r="G158" s="58"/>
      <c r="H158" s="58"/>
    </row>
    <row r="159" spans="2:8" x14ac:dyDescent="0.2">
      <c r="B159" s="25"/>
      <c r="C159" s="25"/>
      <c r="D159" s="25"/>
      <c r="E159" s="58"/>
      <c r="F159" s="58"/>
      <c r="G159" s="58"/>
      <c r="H159" s="58"/>
    </row>
    <row r="160" spans="2:8" x14ac:dyDescent="0.2">
      <c r="B160" s="25"/>
      <c r="C160" s="25"/>
      <c r="D160" s="25"/>
      <c r="E160" s="58"/>
      <c r="F160" s="58"/>
      <c r="G160" s="58"/>
      <c r="H160" s="58"/>
    </row>
    <row r="161" spans="2:8" x14ac:dyDescent="0.2">
      <c r="B161" s="25"/>
      <c r="C161" s="25"/>
      <c r="D161" s="25"/>
      <c r="E161" s="58"/>
      <c r="F161" s="58"/>
      <c r="G161" s="58"/>
      <c r="H161" s="58"/>
    </row>
    <row r="162" spans="2:8" x14ac:dyDescent="0.2">
      <c r="B162" s="25"/>
      <c r="C162" s="25"/>
      <c r="D162" s="25"/>
      <c r="E162" s="58"/>
      <c r="F162" s="58"/>
      <c r="G162" s="58"/>
      <c r="H162" s="58"/>
    </row>
    <row r="163" spans="2:8" x14ac:dyDescent="0.2">
      <c r="B163" s="25"/>
      <c r="C163" s="25"/>
      <c r="D163" s="25"/>
      <c r="E163" s="58"/>
      <c r="F163" s="58"/>
      <c r="G163" s="58"/>
      <c r="H163" s="58"/>
    </row>
    <row r="164" spans="2:8" x14ac:dyDescent="0.2">
      <c r="B164" s="25"/>
      <c r="C164" s="25"/>
      <c r="D164" s="25"/>
      <c r="E164" s="58"/>
      <c r="F164" s="58"/>
      <c r="G164" s="58"/>
      <c r="H164" s="58"/>
    </row>
    <row r="165" spans="2:8" x14ac:dyDescent="0.2">
      <c r="B165" s="25"/>
      <c r="C165" s="25"/>
      <c r="D165" s="25"/>
      <c r="E165" s="58"/>
      <c r="F165" s="58"/>
      <c r="G165" s="58"/>
      <c r="H165" s="58"/>
    </row>
    <row r="166" spans="2:8" x14ac:dyDescent="0.2">
      <c r="B166" s="25"/>
      <c r="C166" s="25"/>
      <c r="D166" s="25"/>
      <c r="E166" s="58"/>
      <c r="F166" s="58"/>
      <c r="G166" s="58"/>
      <c r="H166" s="58"/>
    </row>
    <row r="167" spans="2:8" x14ac:dyDescent="0.2">
      <c r="B167" s="25"/>
      <c r="C167" s="25"/>
      <c r="D167" s="25"/>
      <c r="E167" s="58"/>
      <c r="F167" s="58"/>
      <c r="G167" s="58"/>
      <c r="H167" s="58"/>
    </row>
    <row r="168" spans="2:8" x14ac:dyDescent="0.2">
      <c r="B168" s="25"/>
    </row>
    <row r="169" spans="2:8" x14ac:dyDescent="0.2">
      <c r="B169" s="25"/>
    </row>
    <row r="170" spans="2:8" x14ac:dyDescent="0.2">
      <c r="B170" s="25"/>
    </row>
    <row r="171" spans="2:8" x14ac:dyDescent="0.2">
      <c r="B171" s="25"/>
    </row>
    <row r="172" spans="2:8" x14ac:dyDescent="0.2">
      <c r="B172" s="25"/>
    </row>
    <row r="173" spans="2:8" x14ac:dyDescent="0.2">
      <c r="B173" s="25"/>
    </row>
    <row r="174" spans="2:8" x14ac:dyDescent="0.2">
      <c r="B174" s="25"/>
    </row>
    <row r="175" spans="2:8" x14ac:dyDescent="0.2">
      <c r="B175" s="25"/>
    </row>
    <row r="176" spans="2:8" x14ac:dyDescent="0.2">
      <c r="B176" s="25"/>
    </row>
    <row r="177" spans="2:2" x14ac:dyDescent="0.2">
      <c r="B177" s="25"/>
    </row>
    <row r="178" spans="2:2" x14ac:dyDescent="0.2">
      <c r="B178" s="25"/>
    </row>
    <row r="179" spans="2:2" x14ac:dyDescent="0.2">
      <c r="B179" s="25"/>
    </row>
    <row r="180" spans="2:2" x14ac:dyDescent="0.2">
      <c r="B180" s="25"/>
    </row>
    <row r="181" spans="2:2" x14ac:dyDescent="0.2">
      <c r="B181" s="25"/>
    </row>
    <row r="182" spans="2:2" x14ac:dyDescent="0.2">
      <c r="B182" s="25"/>
    </row>
    <row r="183" spans="2:2" x14ac:dyDescent="0.2">
      <c r="B183" s="25"/>
    </row>
    <row r="184" spans="2:2" x14ac:dyDescent="0.2">
      <c r="B184" s="25"/>
    </row>
  </sheetData>
  <mergeCells count="10">
    <mergeCell ref="A127:N127"/>
    <mergeCell ref="A128:N128"/>
    <mergeCell ref="A129:L129"/>
    <mergeCell ref="K2:K3"/>
    <mergeCell ref="A121:N121"/>
    <mergeCell ref="A122:L122"/>
    <mergeCell ref="A123:N123"/>
    <mergeCell ref="A124:N124"/>
    <mergeCell ref="A125:N125"/>
    <mergeCell ref="A126:N126"/>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56" fitToHeight="99" pageOrder="overThenDown" orientation="portrait" blackAndWhite="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7">
    <pageSetUpPr fitToPage="1"/>
  </sheetPr>
  <dimension ref="A1:AD178"/>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5703125" style="25" customWidth="1"/>
    <col min="2" max="2" width="7.42578125" style="26" customWidth="1"/>
    <col min="3" max="3" width="13.5703125" style="61" customWidth="1"/>
    <col min="4" max="4" width="3" style="61" customWidth="1"/>
    <col min="5" max="5" width="13.5703125" style="168" customWidth="1"/>
    <col min="6" max="6" width="2.85546875" style="60" customWidth="1"/>
    <col min="7" max="7" width="13.5703125" style="59" hidden="1" customWidth="1"/>
    <col min="8" max="8" width="3.140625" style="60" hidden="1" customWidth="1"/>
    <col min="9" max="9" width="14.5703125" style="59" customWidth="1"/>
    <col min="10" max="10" width="3.140625" style="60" bestFit="1" customWidth="1"/>
    <col min="11" max="11" width="13.5703125" style="59" customWidth="1"/>
    <col min="12" max="12" width="3.140625" style="60" bestFit="1" customWidth="1"/>
    <col min="13" max="13" width="13.5703125" style="59" hidden="1" customWidth="1"/>
    <col min="14" max="14" width="3.140625" style="60" hidden="1" customWidth="1"/>
    <col min="15" max="15" width="13.5703125" style="59" customWidth="1"/>
    <col min="16" max="16" width="2.85546875" style="60" customWidth="1"/>
    <col min="17" max="17" width="11" style="29" customWidth="1"/>
    <col min="18" max="18" width="9.140625" style="29"/>
    <col min="19" max="19" width="12.7109375" style="29" customWidth="1"/>
    <col min="20" max="20" width="9.140625" style="29"/>
    <col min="21" max="21" width="11.42578125" style="29" customWidth="1"/>
    <col min="22" max="22" width="9.140625" style="29"/>
    <col min="23" max="23" width="10.7109375" style="29" customWidth="1"/>
    <col min="24" max="16384" width="9.140625" style="29"/>
  </cols>
  <sheetData>
    <row r="1" spans="1:16" s="4" customFormat="1" ht="15.75" x14ac:dyDescent="0.2">
      <c r="A1" s="1" t="s">
        <v>174</v>
      </c>
      <c r="B1" s="2">
        <v>2019</v>
      </c>
      <c r="C1" s="3"/>
      <c r="E1" s="653"/>
      <c r="G1" s="5"/>
      <c r="I1" s="5"/>
      <c r="J1" s="6"/>
      <c r="K1" s="5"/>
      <c r="L1" s="6"/>
      <c r="M1" s="5"/>
      <c r="N1" s="6"/>
    </row>
    <row r="2" spans="1:16" s="4" customFormat="1" ht="15.75" x14ac:dyDescent="0.25">
      <c r="A2" s="1" t="s">
        <v>175</v>
      </c>
      <c r="B2" s="7" t="s">
        <v>176</v>
      </c>
      <c r="C2" s="7" t="s">
        <v>0</v>
      </c>
      <c r="D2" s="6"/>
      <c r="E2" s="654"/>
      <c r="F2" s="9"/>
      <c r="G2" s="8"/>
      <c r="H2" s="6"/>
      <c r="I2" s="8"/>
      <c r="J2" s="6"/>
      <c r="K2" s="1733" t="s">
        <v>171</v>
      </c>
      <c r="L2" s="6"/>
      <c r="M2" s="8"/>
      <c r="N2" s="6"/>
    </row>
    <row r="3" spans="1:16" s="4" customFormat="1" ht="15.75" x14ac:dyDescent="0.25">
      <c r="A3" s="1" t="s">
        <v>177</v>
      </c>
      <c r="B3" s="10" t="s">
        <v>818</v>
      </c>
      <c r="C3" s="10" t="s">
        <v>979</v>
      </c>
      <c r="D3" s="6"/>
      <c r="E3" s="655"/>
      <c r="F3" s="9"/>
      <c r="G3" s="11"/>
      <c r="H3" s="6"/>
      <c r="I3" s="11"/>
      <c r="J3" s="6"/>
      <c r="K3" s="1734"/>
      <c r="L3" s="6"/>
      <c r="M3" s="11"/>
      <c r="N3" s="6"/>
    </row>
    <row r="4" spans="1:16" s="4" customFormat="1" ht="15.75" x14ac:dyDescent="0.25">
      <c r="A4" s="1" t="s">
        <v>180</v>
      </c>
      <c r="B4" s="10" t="s">
        <v>980</v>
      </c>
      <c r="C4" s="10" t="s">
        <v>25</v>
      </c>
      <c r="D4" s="6"/>
      <c r="E4" s="655"/>
      <c r="F4" s="9"/>
      <c r="G4" s="11"/>
      <c r="H4" s="6"/>
      <c r="I4" s="11"/>
      <c r="J4" s="6"/>
      <c r="K4" s="11"/>
      <c r="L4" s="6"/>
      <c r="M4" s="11"/>
      <c r="N4" s="6"/>
    </row>
    <row r="5" spans="1:16" s="4" customFormat="1" ht="15.75" x14ac:dyDescent="0.2">
      <c r="A5" s="1" t="s">
        <v>183</v>
      </c>
      <c r="B5" s="12" t="s">
        <v>211</v>
      </c>
      <c r="C5" s="12" t="s">
        <v>211</v>
      </c>
      <c r="D5" s="13"/>
      <c r="E5" s="656"/>
      <c r="G5" s="14"/>
      <c r="I5" s="14"/>
      <c r="K5" s="14"/>
      <c r="M5" s="14"/>
    </row>
    <row r="6" spans="1:16" s="4" customFormat="1" ht="15.75" x14ac:dyDescent="0.25">
      <c r="A6" s="15" t="s">
        <v>186</v>
      </c>
      <c r="B6" s="16">
        <v>4</v>
      </c>
      <c r="C6" s="17"/>
      <c r="D6" s="18"/>
      <c r="E6" s="657"/>
      <c r="F6" s="9"/>
      <c r="G6" s="8"/>
      <c r="H6" s="6"/>
      <c r="I6" s="8"/>
      <c r="J6" s="6"/>
      <c r="K6" s="8"/>
      <c r="L6" s="6"/>
      <c r="M6" s="8"/>
      <c r="N6" s="6"/>
    </row>
    <row r="7" spans="1:16" s="24" customFormat="1" x14ac:dyDescent="0.2">
      <c r="A7" s="20"/>
      <c r="B7" s="21"/>
      <c r="C7" s="22"/>
      <c r="D7" s="23"/>
      <c r="E7" s="658"/>
      <c r="F7" s="23"/>
      <c r="G7" s="22"/>
      <c r="H7" s="23"/>
      <c r="I7" s="22"/>
      <c r="J7" s="23"/>
      <c r="K7" s="22" t="s">
        <v>187</v>
      </c>
      <c r="L7" s="23"/>
      <c r="M7" s="22" t="s">
        <v>187</v>
      </c>
      <c r="N7" s="23"/>
    </row>
    <row r="8" spans="1:16" x14ac:dyDescent="0.2">
      <c r="C8" s="27" t="s">
        <v>188</v>
      </c>
      <c r="D8" s="28" t="s">
        <v>189</v>
      </c>
      <c r="E8" s="659"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660"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517</v>
      </c>
      <c r="B10" s="36"/>
      <c r="C10" s="661"/>
      <c r="D10" s="661"/>
      <c r="E10" s="661"/>
      <c r="M10" s="662"/>
      <c r="N10" s="663"/>
      <c r="O10" s="663"/>
    </row>
    <row r="11" spans="1:16" s="37" customFormat="1" x14ac:dyDescent="0.2">
      <c r="A11" s="35" t="s">
        <v>1036</v>
      </c>
      <c r="B11" s="36"/>
      <c r="C11" s="661"/>
      <c r="D11" s="661"/>
      <c r="E11" s="661"/>
      <c r="M11" s="662"/>
      <c r="N11" s="663"/>
      <c r="O11" s="663"/>
    </row>
    <row r="12" spans="1:16" s="24" customFormat="1" x14ac:dyDescent="0.2">
      <c r="A12" s="664" t="s">
        <v>1037</v>
      </c>
      <c r="B12" s="31"/>
      <c r="C12" s="299"/>
      <c r="D12" s="299"/>
      <c r="E12" s="299"/>
      <c r="M12" s="662"/>
      <c r="N12" s="663"/>
      <c r="O12" s="663"/>
    </row>
    <row r="13" spans="1:16" s="40" customFormat="1" x14ac:dyDescent="0.2">
      <c r="A13" s="90" t="s">
        <v>354</v>
      </c>
      <c r="B13" s="39"/>
      <c r="C13" s="665">
        <v>545.41666666666663</v>
      </c>
      <c r="D13" s="666"/>
      <c r="E13" s="665">
        <v>554</v>
      </c>
      <c r="G13" s="71">
        <v>548.5</v>
      </c>
      <c r="I13" s="71">
        <v>520</v>
      </c>
      <c r="K13" s="71">
        <v>515</v>
      </c>
      <c r="M13" s="662"/>
      <c r="N13" s="663"/>
      <c r="O13" s="663"/>
    </row>
    <row r="14" spans="1:16" s="40" customFormat="1" x14ac:dyDescent="0.2">
      <c r="A14" s="90" t="s">
        <v>1038</v>
      </c>
      <c r="B14" s="39"/>
      <c r="C14" s="665">
        <v>496</v>
      </c>
      <c r="D14" s="667"/>
      <c r="E14" s="665">
        <v>421</v>
      </c>
      <c r="G14" s="71">
        <v>428</v>
      </c>
      <c r="I14" s="71">
        <v>419</v>
      </c>
      <c r="K14" s="71">
        <v>415</v>
      </c>
      <c r="M14" s="668"/>
      <c r="N14" s="663"/>
      <c r="O14" s="663"/>
    </row>
    <row r="15" spans="1:16" s="40" customFormat="1" x14ac:dyDescent="0.2">
      <c r="A15" s="131" t="s">
        <v>1039</v>
      </c>
      <c r="B15" s="39"/>
      <c r="C15" s="669">
        <v>243</v>
      </c>
      <c r="D15" s="667"/>
      <c r="E15" s="669">
        <v>236</v>
      </c>
      <c r="G15" s="71">
        <v>210</v>
      </c>
      <c r="I15" s="71">
        <v>222</v>
      </c>
      <c r="K15" s="71">
        <v>222</v>
      </c>
      <c r="M15" s="662"/>
      <c r="N15" s="663"/>
      <c r="O15" s="663"/>
    </row>
    <row r="16" spans="1:16" s="40" customFormat="1" x14ac:dyDescent="0.2">
      <c r="A16" s="131" t="s">
        <v>1040</v>
      </c>
      <c r="B16" s="39"/>
      <c r="C16" s="669">
        <v>253</v>
      </c>
      <c r="D16" s="667"/>
      <c r="E16" s="669">
        <v>185</v>
      </c>
      <c r="G16" s="71">
        <v>218.31451612903226</v>
      </c>
      <c r="I16" s="71">
        <v>197</v>
      </c>
      <c r="K16" s="71">
        <v>193</v>
      </c>
      <c r="M16" s="662"/>
      <c r="N16" s="663"/>
      <c r="O16" s="663"/>
    </row>
    <row r="17" spans="1:23" s="40" customFormat="1" x14ac:dyDescent="0.2">
      <c r="A17" s="90" t="s">
        <v>1041</v>
      </c>
      <c r="B17" s="39"/>
      <c r="C17" s="670">
        <v>488</v>
      </c>
      <c r="D17" s="667"/>
      <c r="E17" s="670">
        <v>410</v>
      </c>
      <c r="G17" s="71">
        <v>408</v>
      </c>
      <c r="I17" s="71">
        <v>506</v>
      </c>
      <c r="K17" s="71">
        <v>506</v>
      </c>
      <c r="M17" s="662"/>
      <c r="N17" s="663"/>
      <c r="O17" s="663"/>
    </row>
    <row r="18" spans="1:23" s="40" customFormat="1" x14ac:dyDescent="0.2">
      <c r="A18" s="90" t="s">
        <v>1042</v>
      </c>
      <c r="B18" s="39"/>
      <c r="C18" s="671" t="s">
        <v>1043</v>
      </c>
      <c r="D18" s="671"/>
      <c r="E18" s="671" t="s">
        <v>1044</v>
      </c>
      <c r="G18" s="671" t="s">
        <v>1044</v>
      </c>
      <c r="I18" s="671" t="s">
        <v>1043</v>
      </c>
      <c r="K18" s="672" t="s">
        <v>1043</v>
      </c>
      <c r="M18" s="673"/>
      <c r="N18" s="663"/>
      <c r="O18" s="663"/>
    </row>
    <row r="19" spans="1:23" s="40" customFormat="1" x14ac:dyDescent="0.2">
      <c r="A19" s="90" t="s">
        <v>533</v>
      </c>
      <c r="B19" s="39"/>
      <c r="C19" s="674">
        <v>203424</v>
      </c>
      <c r="D19" s="674"/>
      <c r="E19" s="674">
        <v>202658</v>
      </c>
      <c r="G19" s="97">
        <v>207656</v>
      </c>
      <c r="I19" s="97">
        <v>217998</v>
      </c>
      <c r="K19" s="97">
        <v>212905</v>
      </c>
      <c r="M19" s="675"/>
      <c r="N19" s="663"/>
      <c r="O19" s="663"/>
      <c r="P19" s="663"/>
      <c r="Q19" s="663"/>
      <c r="R19" s="663"/>
      <c r="S19" s="663"/>
      <c r="T19" s="663"/>
      <c r="U19" s="663"/>
      <c r="V19" s="663"/>
      <c r="W19" s="663"/>
    </row>
    <row r="20" spans="1:23" s="40" customFormat="1" x14ac:dyDescent="0.2">
      <c r="A20" s="90" t="s">
        <v>534</v>
      </c>
      <c r="B20" s="39"/>
      <c r="C20" s="676">
        <f>C19/365</f>
        <v>557.3260273972603</v>
      </c>
      <c r="D20" s="677"/>
      <c r="E20" s="676">
        <f>E19/365</f>
        <v>555.22739726027396</v>
      </c>
      <c r="G20" s="677">
        <v>568.91999999999996</v>
      </c>
      <c r="I20" s="677">
        <f>I19/365</f>
        <v>597.25479452054799</v>
      </c>
      <c r="K20" s="253">
        <f>K19/365</f>
        <v>583.30136986301375</v>
      </c>
      <c r="M20" s="678"/>
      <c r="N20" s="663"/>
      <c r="O20" s="663"/>
      <c r="Q20" s="663"/>
      <c r="U20" s="663"/>
      <c r="W20" s="663"/>
    </row>
    <row r="21" spans="1:23" s="24" customFormat="1" x14ac:dyDescent="0.2">
      <c r="A21" s="664" t="s">
        <v>1045</v>
      </c>
      <c r="B21" s="31"/>
      <c r="C21" s="679"/>
      <c r="D21" s="679"/>
      <c r="E21" s="679"/>
      <c r="F21" s="679"/>
      <c r="G21" s="679"/>
      <c r="H21" s="679"/>
      <c r="I21" s="679"/>
      <c r="J21" s="679"/>
      <c r="K21" s="680"/>
      <c r="M21" s="681"/>
      <c r="N21" s="663"/>
      <c r="O21" s="663"/>
    </row>
    <row r="22" spans="1:23" s="40" customFormat="1" x14ac:dyDescent="0.2">
      <c r="A22" s="90" t="s">
        <v>354</v>
      </c>
      <c r="B22" s="39"/>
      <c r="C22" s="669">
        <v>432.08333333333331</v>
      </c>
      <c r="D22" s="682"/>
      <c r="E22" s="669">
        <v>402</v>
      </c>
      <c r="G22" s="71">
        <v>405.16666666666669</v>
      </c>
      <c r="I22" s="71">
        <v>400</v>
      </c>
      <c r="K22" s="71">
        <v>400</v>
      </c>
      <c r="M22" s="662"/>
      <c r="N22" s="663"/>
      <c r="O22" s="663"/>
    </row>
    <row r="23" spans="1:23" s="40" customFormat="1" x14ac:dyDescent="0.2">
      <c r="A23" s="90" t="s">
        <v>1038</v>
      </c>
      <c r="B23" s="39"/>
      <c r="C23" s="669">
        <v>631</v>
      </c>
      <c r="D23" s="683"/>
      <c r="E23" s="669">
        <v>463</v>
      </c>
      <c r="G23" s="71">
        <v>457.83018108651913</v>
      </c>
      <c r="I23" s="71">
        <v>446</v>
      </c>
      <c r="K23" s="71">
        <v>446</v>
      </c>
      <c r="M23" s="668"/>
      <c r="N23" s="663"/>
      <c r="O23" s="663"/>
    </row>
    <row r="24" spans="1:23" s="40" customFormat="1" x14ac:dyDescent="0.2">
      <c r="A24" s="131" t="s">
        <v>1046</v>
      </c>
      <c r="B24" s="39"/>
      <c r="C24" s="669">
        <v>364</v>
      </c>
      <c r="D24" s="683"/>
      <c r="E24" s="669">
        <v>255</v>
      </c>
      <c r="G24" s="71">
        <v>264</v>
      </c>
      <c r="I24" s="71">
        <v>272</v>
      </c>
      <c r="K24" s="71">
        <v>272</v>
      </c>
      <c r="M24" s="662"/>
      <c r="N24" s="663"/>
      <c r="O24" s="663"/>
    </row>
    <row r="25" spans="1:23" s="40" customFormat="1" x14ac:dyDescent="0.2">
      <c r="A25" s="131" t="s">
        <v>1040</v>
      </c>
      <c r="B25" s="39"/>
      <c r="C25" s="669">
        <v>267</v>
      </c>
      <c r="D25" s="683"/>
      <c r="E25" s="669">
        <v>208</v>
      </c>
      <c r="G25" s="71">
        <v>193.83018108651913</v>
      </c>
      <c r="I25" s="71">
        <v>174</v>
      </c>
      <c r="K25" s="71">
        <v>174</v>
      </c>
      <c r="M25" s="662"/>
      <c r="N25" s="663"/>
      <c r="O25" s="663"/>
    </row>
    <row r="26" spans="1:23" s="40" customFormat="1" x14ac:dyDescent="0.2">
      <c r="A26" s="90" t="s">
        <v>1041</v>
      </c>
      <c r="B26" s="39"/>
      <c r="C26" s="670">
        <v>618</v>
      </c>
      <c r="D26" s="683"/>
      <c r="E26" s="670">
        <v>518</v>
      </c>
      <c r="G26" s="71">
        <v>556</v>
      </c>
      <c r="I26" s="71">
        <v>422</v>
      </c>
      <c r="K26" s="71">
        <v>422</v>
      </c>
      <c r="M26" s="684"/>
      <c r="N26" s="685"/>
      <c r="O26" s="685"/>
    </row>
    <row r="27" spans="1:23" s="40" customFormat="1" x14ac:dyDescent="0.2">
      <c r="A27" s="90" t="s">
        <v>1047</v>
      </c>
      <c r="B27" s="39"/>
      <c r="C27" s="671" t="s">
        <v>1043</v>
      </c>
      <c r="D27" s="686"/>
      <c r="E27" s="671" t="s">
        <v>1043</v>
      </c>
      <c r="G27" s="672" t="s">
        <v>1043</v>
      </c>
      <c r="I27" s="672" t="s">
        <v>1043</v>
      </c>
      <c r="K27" s="672" t="s">
        <v>1043</v>
      </c>
      <c r="M27" s="673"/>
      <c r="N27" s="663"/>
      <c r="O27" s="663"/>
    </row>
    <row r="28" spans="1:23" s="40" customFormat="1" x14ac:dyDescent="0.2">
      <c r="A28" s="90" t="s">
        <v>533</v>
      </c>
      <c r="B28" s="39"/>
      <c r="C28" s="674">
        <v>211073</v>
      </c>
      <c r="D28" s="674"/>
      <c r="E28" s="674">
        <v>224093</v>
      </c>
      <c r="G28" s="687">
        <v>226642</v>
      </c>
      <c r="I28" s="687">
        <v>228148</v>
      </c>
      <c r="K28" s="97">
        <v>217345</v>
      </c>
      <c r="M28" s="675"/>
      <c r="N28" s="663"/>
      <c r="O28" s="663"/>
      <c r="Q28" s="663"/>
      <c r="U28" s="663"/>
      <c r="W28" s="663"/>
    </row>
    <row r="29" spans="1:23" s="40" customFormat="1" x14ac:dyDescent="0.2">
      <c r="A29" s="90" t="s">
        <v>534</v>
      </c>
      <c r="B29" s="39"/>
      <c r="C29" s="676">
        <f>C28/365</f>
        <v>578.2821917808219</v>
      </c>
      <c r="D29" s="676"/>
      <c r="E29" s="676">
        <f>E28/365</f>
        <v>613.95342465753424</v>
      </c>
      <c r="F29" s="676"/>
      <c r="G29" s="676">
        <v>620.94000000000005</v>
      </c>
      <c r="I29" s="676">
        <f>I28/365</f>
        <v>625.06301369863013</v>
      </c>
      <c r="K29" s="253">
        <f>K28/365</f>
        <v>595.46575342465758</v>
      </c>
      <c r="M29" s="678"/>
      <c r="N29" s="663"/>
      <c r="O29" s="663"/>
      <c r="P29" s="663"/>
      <c r="Q29" s="663"/>
      <c r="R29" s="663"/>
      <c r="S29" s="663"/>
      <c r="T29" s="663"/>
      <c r="U29" s="663"/>
      <c r="V29" s="663"/>
      <c r="W29" s="663"/>
    </row>
    <row r="30" spans="1:23" s="40" customFormat="1" x14ac:dyDescent="0.2">
      <c r="A30" s="688" t="s">
        <v>1048</v>
      </c>
      <c r="B30" s="39"/>
      <c r="C30" s="268"/>
      <c r="D30" s="263"/>
      <c r="E30" s="268"/>
      <c r="K30" s="63"/>
      <c r="M30" s="689"/>
      <c r="N30" s="663"/>
      <c r="O30" s="663"/>
    </row>
    <row r="31" spans="1:23" s="40" customFormat="1" x14ac:dyDescent="0.2">
      <c r="A31" s="90" t="s">
        <v>354</v>
      </c>
      <c r="B31" s="39"/>
      <c r="C31" s="669">
        <v>199.91666666666666</v>
      </c>
      <c r="D31" s="682"/>
      <c r="E31" s="669">
        <v>199</v>
      </c>
      <c r="G31" s="71">
        <v>200</v>
      </c>
      <c r="I31" s="71">
        <v>200</v>
      </c>
      <c r="K31" s="71">
        <v>200</v>
      </c>
      <c r="M31" s="662"/>
      <c r="N31" s="663"/>
      <c r="O31" s="663"/>
    </row>
    <row r="32" spans="1:23" s="40" customFormat="1" x14ac:dyDescent="0.2">
      <c r="A32" s="90" t="s">
        <v>1038</v>
      </c>
      <c r="B32" s="39"/>
      <c r="C32" s="669">
        <v>181</v>
      </c>
      <c r="D32" s="683"/>
      <c r="E32" s="669">
        <v>184</v>
      </c>
      <c r="G32" s="71">
        <v>188</v>
      </c>
      <c r="I32" s="71">
        <v>191</v>
      </c>
      <c r="K32" s="71">
        <v>191</v>
      </c>
      <c r="M32" s="668"/>
      <c r="N32" s="263"/>
      <c r="O32" s="263"/>
    </row>
    <row r="33" spans="1:15" s="40" customFormat="1" x14ac:dyDescent="0.2">
      <c r="A33" s="131" t="s">
        <v>1039</v>
      </c>
      <c r="B33" s="39"/>
      <c r="C33" s="669">
        <v>90</v>
      </c>
      <c r="D33" s="683"/>
      <c r="E33" s="669">
        <v>61</v>
      </c>
      <c r="G33" s="71">
        <v>93</v>
      </c>
      <c r="I33" s="71">
        <v>60</v>
      </c>
      <c r="K33" s="71">
        <v>60</v>
      </c>
      <c r="M33" s="662"/>
      <c r="N33" s="663"/>
      <c r="O33" s="663"/>
    </row>
    <row r="34" spans="1:15" s="40" customFormat="1" x14ac:dyDescent="0.2">
      <c r="A34" s="131" t="s">
        <v>1049</v>
      </c>
      <c r="B34" s="39"/>
      <c r="C34" s="669">
        <v>91</v>
      </c>
      <c r="D34" s="683"/>
      <c r="E34" s="669">
        <v>123</v>
      </c>
      <c r="G34" s="71">
        <v>95</v>
      </c>
      <c r="I34" s="71">
        <v>131</v>
      </c>
      <c r="K34" s="71">
        <v>131</v>
      </c>
      <c r="M34" s="662"/>
      <c r="N34" s="663"/>
      <c r="O34" s="663"/>
    </row>
    <row r="35" spans="1:15" s="40" customFormat="1" x14ac:dyDescent="0.2">
      <c r="A35" s="90" t="s">
        <v>1041</v>
      </c>
      <c r="B35" s="39"/>
      <c r="C35" s="670">
        <v>181</v>
      </c>
      <c r="D35" s="683"/>
      <c r="E35" s="670">
        <v>185</v>
      </c>
      <c r="G35" s="71">
        <v>188</v>
      </c>
      <c r="I35" s="71">
        <v>191</v>
      </c>
      <c r="K35" s="71">
        <v>191</v>
      </c>
      <c r="M35" s="690"/>
      <c r="N35" s="663"/>
      <c r="O35" s="663"/>
    </row>
    <row r="36" spans="1:15" s="40" customFormat="1" x14ac:dyDescent="0.2">
      <c r="A36" s="90" t="s">
        <v>1042</v>
      </c>
      <c r="B36" s="39"/>
      <c r="C36" s="671" t="s">
        <v>1043</v>
      </c>
      <c r="D36" s="686"/>
      <c r="E36" s="671" t="s">
        <v>1050</v>
      </c>
      <c r="G36" s="672" t="s">
        <v>1050</v>
      </c>
      <c r="I36" s="672" t="s">
        <v>1050</v>
      </c>
      <c r="K36" s="672" t="s">
        <v>1050</v>
      </c>
      <c r="M36" s="691"/>
    </row>
    <row r="37" spans="1:15" s="40" customFormat="1" x14ac:dyDescent="0.2">
      <c r="A37" s="90" t="s">
        <v>533</v>
      </c>
      <c r="B37" s="39"/>
      <c r="C37" s="674">
        <v>221947</v>
      </c>
      <c r="D37" s="674"/>
      <c r="E37" s="674">
        <v>219645</v>
      </c>
      <c r="G37" s="687">
        <v>228720</v>
      </c>
      <c r="I37" s="687">
        <v>228095</v>
      </c>
      <c r="K37" s="97">
        <v>243725</v>
      </c>
      <c r="M37" s="351"/>
    </row>
    <row r="38" spans="1:15" s="40" customFormat="1" x14ac:dyDescent="0.2">
      <c r="A38" s="90" t="s">
        <v>534</v>
      </c>
      <c r="B38" s="39"/>
      <c r="C38" s="676">
        <f>C37/365</f>
        <v>608.07397260273967</v>
      </c>
      <c r="D38" s="250"/>
      <c r="E38" s="676">
        <f>E37/365</f>
        <v>601.76712328767121</v>
      </c>
      <c r="G38" s="250">
        <v>626.63</v>
      </c>
      <c r="I38" s="250">
        <f>I37/365</f>
        <v>624.91780821917803</v>
      </c>
      <c r="K38" s="253">
        <f>K37/365</f>
        <v>667.7397260273973</v>
      </c>
      <c r="M38" s="354"/>
    </row>
    <row r="39" spans="1:15" s="40" customFormat="1" x14ac:dyDescent="0.2">
      <c r="A39" s="688" t="s">
        <v>1051</v>
      </c>
      <c r="B39" s="39"/>
      <c r="C39" s="268"/>
      <c r="D39" s="263"/>
      <c r="E39" s="268"/>
      <c r="K39" s="63"/>
      <c r="M39" s="333"/>
    </row>
    <row r="40" spans="1:15" s="40" customFormat="1" x14ac:dyDescent="0.2">
      <c r="A40" s="90" t="s">
        <v>354</v>
      </c>
      <c r="B40" s="39"/>
      <c r="C40" s="669">
        <v>428.5</v>
      </c>
      <c r="D40" s="682"/>
      <c r="E40" s="669">
        <v>402</v>
      </c>
      <c r="G40" s="692">
        <v>395.33333333333331</v>
      </c>
      <c r="I40" s="692">
        <v>400</v>
      </c>
      <c r="K40" s="71">
        <v>400</v>
      </c>
      <c r="M40" s="693"/>
    </row>
    <row r="41" spans="1:15" s="40" customFormat="1" x14ac:dyDescent="0.2">
      <c r="A41" s="90" t="s">
        <v>1038</v>
      </c>
      <c r="B41" s="39"/>
      <c r="C41" s="669">
        <v>757</v>
      </c>
      <c r="D41" s="683"/>
      <c r="E41" s="669">
        <v>602</v>
      </c>
      <c r="G41" s="692">
        <v>612</v>
      </c>
      <c r="I41" s="692">
        <v>550</v>
      </c>
      <c r="K41" s="71">
        <v>550</v>
      </c>
      <c r="M41" s="693"/>
    </row>
    <row r="42" spans="1:15" s="40" customFormat="1" x14ac:dyDescent="0.2">
      <c r="A42" s="131" t="s">
        <v>1046</v>
      </c>
      <c r="B42" s="39"/>
      <c r="C42" s="669">
        <v>485</v>
      </c>
      <c r="D42" s="694"/>
      <c r="E42" s="669">
        <v>367</v>
      </c>
      <c r="G42" s="692">
        <v>392</v>
      </c>
      <c r="I42" s="692">
        <v>340</v>
      </c>
      <c r="K42" s="71">
        <v>340</v>
      </c>
      <c r="M42" s="693"/>
    </row>
    <row r="43" spans="1:15" s="40" customFormat="1" x14ac:dyDescent="0.2">
      <c r="A43" s="131" t="s">
        <v>1040</v>
      </c>
      <c r="B43" s="39"/>
      <c r="C43" s="669">
        <v>272</v>
      </c>
      <c r="D43" s="694"/>
      <c r="E43" s="669">
        <v>235</v>
      </c>
      <c r="G43" s="692">
        <v>220</v>
      </c>
      <c r="I43" s="692">
        <v>210</v>
      </c>
      <c r="K43" s="71">
        <v>210</v>
      </c>
      <c r="M43" s="693"/>
    </row>
    <row r="44" spans="1:15" s="40" customFormat="1" x14ac:dyDescent="0.2">
      <c r="A44" s="90" t="s">
        <v>1041</v>
      </c>
      <c r="B44" s="39"/>
      <c r="C44" s="670">
        <v>799</v>
      </c>
      <c r="D44" s="694"/>
      <c r="E44" s="670">
        <v>607</v>
      </c>
      <c r="G44" s="692">
        <v>606</v>
      </c>
      <c r="I44" s="692">
        <v>527</v>
      </c>
      <c r="K44" s="71">
        <v>527</v>
      </c>
      <c r="M44" s="693"/>
    </row>
    <row r="45" spans="1:15" s="40" customFormat="1" x14ac:dyDescent="0.2">
      <c r="A45" s="90" t="s">
        <v>1042</v>
      </c>
      <c r="B45" s="39"/>
      <c r="C45" s="671" t="s">
        <v>1050</v>
      </c>
      <c r="D45" s="686"/>
      <c r="E45" s="671" t="s">
        <v>1050</v>
      </c>
      <c r="G45" s="671" t="s">
        <v>1050</v>
      </c>
      <c r="I45" s="671" t="s">
        <v>1050</v>
      </c>
      <c r="K45" s="671" t="s">
        <v>1050</v>
      </c>
      <c r="M45" s="691"/>
    </row>
    <row r="46" spans="1:15" s="40" customFormat="1" x14ac:dyDescent="0.2">
      <c r="A46" s="90" t="s">
        <v>533</v>
      </c>
      <c r="B46" s="39"/>
      <c r="C46" s="674">
        <v>247324</v>
      </c>
      <c r="D46" s="674"/>
      <c r="E46" s="674">
        <v>268665</v>
      </c>
      <c r="G46" s="97">
        <v>278747</v>
      </c>
      <c r="I46" s="97">
        <v>270685</v>
      </c>
      <c r="K46" s="97">
        <v>265285</v>
      </c>
      <c r="M46" s="351"/>
    </row>
    <row r="47" spans="1:15" s="40" customFormat="1" x14ac:dyDescent="0.2">
      <c r="A47" s="90" t="s">
        <v>534</v>
      </c>
      <c r="B47" s="39"/>
      <c r="C47" s="676">
        <f>C46/365</f>
        <v>677.6</v>
      </c>
      <c r="D47" s="250"/>
      <c r="E47" s="676">
        <f>E46/365</f>
        <v>736.06849315068496</v>
      </c>
      <c r="G47" s="250">
        <v>763.69</v>
      </c>
      <c r="I47" s="250">
        <f>I46/365</f>
        <v>741.60273972602738</v>
      </c>
      <c r="K47" s="253">
        <f>K46/365</f>
        <v>726.80821917808214</v>
      </c>
      <c r="M47" s="354"/>
    </row>
    <row r="48" spans="1:15" s="40" customFormat="1" x14ac:dyDescent="0.2">
      <c r="A48" s="41"/>
      <c r="B48" s="39"/>
      <c r="C48" s="695"/>
      <c r="D48" s="695"/>
      <c r="E48" s="695"/>
      <c r="M48" s="64"/>
    </row>
    <row r="49" spans="1:13" s="37" customFormat="1" x14ac:dyDescent="0.2">
      <c r="A49" s="35" t="s">
        <v>194</v>
      </c>
      <c r="B49" s="36"/>
      <c r="M49" s="108"/>
    </row>
    <row r="50" spans="1:13" s="37" customFormat="1" x14ac:dyDescent="0.2">
      <c r="A50" s="35" t="s">
        <v>195</v>
      </c>
      <c r="B50" s="36"/>
      <c r="M50" s="108"/>
    </row>
    <row r="51" spans="1:13" s="37" customFormat="1" hidden="1" x14ac:dyDescent="0.2">
      <c r="A51" s="664" t="s">
        <v>1037</v>
      </c>
      <c r="B51" s="36"/>
    </row>
    <row r="52" spans="1:13" s="40" customFormat="1" hidden="1" x14ac:dyDescent="0.2">
      <c r="A52" s="41" t="s">
        <v>1052</v>
      </c>
      <c r="B52" s="39"/>
    </row>
    <row r="53" spans="1:13" s="40" customFormat="1" hidden="1" x14ac:dyDescent="0.2">
      <c r="A53" s="90" t="s">
        <v>1053</v>
      </c>
      <c r="B53" s="39"/>
      <c r="M53" s="333"/>
    </row>
    <row r="54" spans="1:13" s="40" customFormat="1" hidden="1" x14ac:dyDescent="0.2">
      <c r="A54" s="90" t="s">
        <v>1054</v>
      </c>
      <c r="B54" s="39"/>
      <c r="M54" s="333"/>
    </row>
    <row r="55" spans="1:13" s="40" customFormat="1" hidden="1" x14ac:dyDescent="0.2">
      <c r="A55" s="90" t="s">
        <v>975</v>
      </c>
      <c r="B55" s="39"/>
      <c r="M55" s="333"/>
    </row>
    <row r="56" spans="1:13" s="40" customFormat="1" hidden="1" x14ac:dyDescent="0.2">
      <c r="A56" s="41" t="s">
        <v>976</v>
      </c>
      <c r="B56" s="39"/>
      <c r="M56" s="333"/>
    </row>
    <row r="57" spans="1:13" s="40" customFormat="1" hidden="1" x14ac:dyDescent="0.2">
      <c r="A57" s="90" t="s">
        <v>1036</v>
      </c>
      <c r="B57" s="39"/>
      <c r="M57" s="333"/>
    </row>
    <row r="58" spans="1:13" s="40" customFormat="1" hidden="1" x14ac:dyDescent="0.2">
      <c r="A58" s="90" t="s">
        <v>263</v>
      </c>
      <c r="B58" s="39"/>
      <c r="M58" s="333"/>
    </row>
    <row r="59" spans="1:13" s="40" customFormat="1" hidden="1" x14ac:dyDescent="0.2">
      <c r="A59" s="90" t="s">
        <v>975</v>
      </c>
      <c r="B59" s="39"/>
      <c r="M59" s="333"/>
    </row>
    <row r="60" spans="1:13" s="37" customFormat="1" hidden="1" x14ac:dyDescent="0.2">
      <c r="A60" s="664" t="s">
        <v>1045</v>
      </c>
      <c r="B60" s="36"/>
    </row>
    <row r="61" spans="1:13" s="40" customFormat="1" hidden="1" x14ac:dyDescent="0.2">
      <c r="A61" s="41" t="s">
        <v>1052</v>
      </c>
      <c r="B61" s="39"/>
    </row>
    <row r="62" spans="1:13" s="40" customFormat="1" hidden="1" x14ac:dyDescent="0.2">
      <c r="A62" s="90" t="s">
        <v>1053</v>
      </c>
      <c r="B62" s="39"/>
      <c r="M62" s="333"/>
    </row>
    <row r="63" spans="1:13" s="40" customFormat="1" hidden="1" x14ac:dyDescent="0.2">
      <c r="A63" s="90" t="s">
        <v>1054</v>
      </c>
      <c r="B63" s="39"/>
      <c r="M63" s="333"/>
    </row>
    <row r="64" spans="1:13" s="40" customFormat="1" hidden="1" x14ac:dyDescent="0.2">
      <c r="A64" s="90" t="s">
        <v>975</v>
      </c>
      <c r="B64" s="39"/>
      <c r="M64" s="333"/>
    </row>
    <row r="65" spans="1:13" s="40" customFormat="1" hidden="1" x14ac:dyDescent="0.2">
      <c r="A65" s="41" t="s">
        <v>976</v>
      </c>
      <c r="B65" s="39"/>
      <c r="M65" s="696"/>
    </row>
    <row r="66" spans="1:13" s="40" customFormat="1" hidden="1" x14ac:dyDescent="0.2">
      <c r="A66" s="90" t="s">
        <v>1036</v>
      </c>
      <c r="B66" s="39"/>
      <c r="M66" s="333"/>
    </row>
    <row r="67" spans="1:13" s="40" customFormat="1" hidden="1" x14ac:dyDescent="0.2">
      <c r="A67" s="90" t="s">
        <v>263</v>
      </c>
      <c r="B67" s="39"/>
      <c r="M67" s="333"/>
    </row>
    <row r="68" spans="1:13" s="40" customFormat="1" hidden="1" x14ac:dyDescent="0.2">
      <c r="A68" s="90" t="s">
        <v>975</v>
      </c>
      <c r="B68" s="39"/>
      <c r="M68" s="333"/>
    </row>
    <row r="69" spans="1:13" s="37" customFormat="1" hidden="1" x14ac:dyDescent="0.2">
      <c r="A69" s="688" t="s">
        <v>1048</v>
      </c>
      <c r="B69" s="36"/>
    </row>
    <row r="70" spans="1:13" s="40" customFormat="1" hidden="1" x14ac:dyDescent="0.2">
      <c r="A70" s="41" t="s">
        <v>1052</v>
      </c>
      <c r="B70" s="39"/>
    </row>
    <row r="71" spans="1:13" s="40" customFormat="1" hidden="1" x14ac:dyDescent="0.2">
      <c r="A71" s="90" t="s">
        <v>1053</v>
      </c>
      <c r="B71" s="39"/>
      <c r="M71" s="333"/>
    </row>
    <row r="72" spans="1:13" s="40" customFormat="1" hidden="1" x14ac:dyDescent="0.2">
      <c r="A72" s="90" t="s">
        <v>1054</v>
      </c>
      <c r="B72" s="39"/>
      <c r="M72" s="333"/>
    </row>
    <row r="73" spans="1:13" s="40" customFormat="1" hidden="1" x14ac:dyDescent="0.2">
      <c r="A73" s="90" t="s">
        <v>975</v>
      </c>
      <c r="B73" s="39"/>
      <c r="M73" s="333"/>
    </row>
    <row r="74" spans="1:13" s="40" customFormat="1" hidden="1" x14ac:dyDescent="0.2">
      <c r="A74" s="41" t="s">
        <v>976</v>
      </c>
      <c r="B74" s="39"/>
      <c r="M74" s="333"/>
    </row>
    <row r="75" spans="1:13" s="40" customFormat="1" hidden="1" x14ac:dyDescent="0.2">
      <c r="A75" s="90" t="s">
        <v>1036</v>
      </c>
      <c r="B75" s="39"/>
      <c r="M75" s="333"/>
    </row>
    <row r="76" spans="1:13" s="40" customFormat="1" hidden="1" x14ac:dyDescent="0.2">
      <c r="A76" s="90" t="s">
        <v>263</v>
      </c>
      <c r="B76" s="39"/>
      <c r="M76" s="333"/>
    </row>
    <row r="77" spans="1:13" s="40" customFormat="1" hidden="1" x14ac:dyDescent="0.2">
      <c r="A77" s="90" t="s">
        <v>975</v>
      </c>
      <c r="B77" s="39"/>
      <c r="M77" s="333"/>
    </row>
    <row r="78" spans="1:13" s="37" customFormat="1" hidden="1" x14ac:dyDescent="0.2">
      <c r="A78" s="688" t="s">
        <v>1051</v>
      </c>
      <c r="B78" s="36"/>
    </row>
    <row r="79" spans="1:13" s="40" customFormat="1" hidden="1" x14ac:dyDescent="0.2">
      <c r="A79" s="41" t="s">
        <v>1052</v>
      </c>
      <c r="B79" s="39"/>
    </row>
    <row r="80" spans="1:13" s="40" customFormat="1" hidden="1" x14ac:dyDescent="0.2">
      <c r="A80" s="90" t="s">
        <v>1053</v>
      </c>
      <c r="B80" s="39"/>
      <c r="M80" s="333"/>
    </row>
    <row r="81" spans="1:13" s="40" customFormat="1" hidden="1" x14ac:dyDescent="0.2">
      <c r="A81" s="90" t="s">
        <v>1054</v>
      </c>
      <c r="B81" s="39"/>
      <c r="M81" s="333"/>
    </row>
    <row r="82" spans="1:13" s="40" customFormat="1" hidden="1" x14ac:dyDescent="0.2">
      <c r="A82" s="90" t="s">
        <v>975</v>
      </c>
      <c r="B82" s="39"/>
      <c r="M82" s="333"/>
    </row>
    <row r="83" spans="1:13" s="40" customFormat="1" hidden="1" x14ac:dyDescent="0.2">
      <c r="A83" s="41" t="s">
        <v>976</v>
      </c>
      <c r="B83" s="39"/>
      <c r="M83" s="333"/>
    </row>
    <row r="84" spans="1:13" s="40" customFormat="1" hidden="1" x14ac:dyDescent="0.2">
      <c r="A84" s="90" t="s">
        <v>1036</v>
      </c>
      <c r="B84" s="39"/>
      <c r="M84" s="333"/>
    </row>
    <row r="85" spans="1:13" s="40" customFormat="1" hidden="1" x14ac:dyDescent="0.2">
      <c r="A85" s="90" t="s">
        <v>263</v>
      </c>
      <c r="B85" s="39"/>
      <c r="M85" s="333"/>
    </row>
    <row r="86" spans="1:13" s="40" customFormat="1" hidden="1" x14ac:dyDescent="0.2">
      <c r="A86" s="90" t="s">
        <v>975</v>
      </c>
      <c r="B86" s="39"/>
      <c r="M86" s="333"/>
    </row>
    <row r="87" spans="1:13" s="37" customFormat="1" hidden="1" x14ac:dyDescent="0.2">
      <c r="A87" s="688" t="s">
        <v>1055</v>
      </c>
      <c r="B87" s="36"/>
    </row>
    <row r="88" spans="1:13" s="40" customFormat="1" hidden="1" x14ac:dyDescent="0.2">
      <c r="A88" s="41" t="s">
        <v>1052</v>
      </c>
      <c r="B88" s="39"/>
    </row>
    <row r="89" spans="1:13" s="40" customFormat="1" hidden="1" x14ac:dyDescent="0.2">
      <c r="A89" s="90" t="s">
        <v>1053</v>
      </c>
      <c r="B89" s="39"/>
      <c r="M89" s="77"/>
    </row>
    <row r="90" spans="1:13" s="40" customFormat="1" hidden="1" x14ac:dyDescent="0.2">
      <c r="A90" s="90" t="s">
        <v>1054</v>
      </c>
      <c r="B90" s="39"/>
      <c r="M90" s="77"/>
    </row>
    <row r="91" spans="1:13" s="40" customFormat="1" hidden="1" x14ac:dyDescent="0.2">
      <c r="A91" s="90" t="s">
        <v>975</v>
      </c>
      <c r="B91" s="39"/>
      <c r="M91" s="77"/>
    </row>
    <row r="92" spans="1:13" s="40" customFormat="1" hidden="1" x14ac:dyDescent="0.2">
      <c r="A92" s="41" t="s">
        <v>976</v>
      </c>
      <c r="B92" s="39"/>
    </row>
    <row r="93" spans="1:13" s="40" customFormat="1" hidden="1" x14ac:dyDescent="0.2">
      <c r="A93" s="90" t="s">
        <v>1036</v>
      </c>
      <c r="B93" s="39"/>
      <c r="M93" s="77"/>
    </row>
    <row r="94" spans="1:13" s="40" customFormat="1" hidden="1" x14ac:dyDescent="0.2">
      <c r="A94" s="90" t="s">
        <v>263</v>
      </c>
      <c r="B94" s="39"/>
      <c r="M94" s="77"/>
    </row>
    <row r="95" spans="1:13" s="40" customFormat="1" hidden="1" x14ac:dyDescent="0.2">
      <c r="A95" s="90" t="s">
        <v>975</v>
      </c>
      <c r="B95" s="39"/>
      <c r="M95" s="77"/>
    </row>
    <row r="96" spans="1:13" s="37" customFormat="1" hidden="1" x14ac:dyDescent="0.2">
      <c r="A96" s="697" t="s">
        <v>1056</v>
      </c>
      <c r="B96" s="36"/>
    </row>
    <row r="97" spans="1:13" s="40" customFormat="1" hidden="1" x14ac:dyDescent="0.2">
      <c r="A97" s="41" t="s">
        <v>1052</v>
      </c>
      <c r="B97" s="39"/>
    </row>
    <row r="98" spans="1:13" s="40" customFormat="1" hidden="1" x14ac:dyDescent="0.2">
      <c r="A98" s="90" t="s">
        <v>1053</v>
      </c>
      <c r="B98" s="39"/>
      <c r="M98" s="333"/>
    </row>
    <row r="99" spans="1:13" s="40" customFormat="1" hidden="1" x14ac:dyDescent="0.2">
      <c r="A99" s="90" t="s">
        <v>1054</v>
      </c>
      <c r="B99" s="39"/>
      <c r="M99" s="333"/>
    </row>
    <row r="100" spans="1:13" s="40" customFormat="1" hidden="1" x14ac:dyDescent="0.2">
      <c r="A100" s="90" t="s">
        <v>975</v>
      </c>
      <c r="B100" s="39"/>
      <c r="M100" s="333"/>
    </row>
    <row r="101" spans="1:13" s="40" customFormat="1" hidden="1" x14ac:dyDescent="0.2">
      <c r="A101" s="41" t="s">
        <v>976</v>
      </c>
      <c r="B101" s="39"/>
      <c r="M101" s="333"/>
    </row>
    <row r="102" spans="1:13" s="40" customFormat="1" hidden="1" x14ac:dyDescent="0.2">
      <c r="A102" s="90" t="s">
        <v>1036</v>
      </c>
      <c r="B102" s="39"/>
      <c r="M102" s="333"/>
    </row>
    <row r="103" spans="1:13" s="40" customFormat="1" hidden="1" x14ac:dyDescent="0.2">
      <c r="A103" s="90" t="s">
        <v>263</v>
      </c>
      <c r="B103" s="39"/>
      <c r="M103" s="333"/>
    </row>
    <row r="104" spans="1:13" s="40" customFormat="1" hidden="1" x14ac:dyDescent="0.2">
      <c r="A104" s="90" t="s">
        <v>975</v>
      </c>
      <c r="B104" s="39"/>
      <c r="M104" s="333"/>
    </row>
    <row r="105" spans="1:13" s="40" customFormat="1" hidden="1" x14ac:dyDescent="0.2">
      <c r="A105" s="41"/>
      <c r="B105" s="39"/>
      <c r="M105" s="333"/>
    </row>
    <row r="106" spans="1:13" s="40" customFormat="1" x14ac:dyDescent="0.2">
      <c r="A106" s="688" t="s">
        <v>557</v>
      </c>
      <c r="B106" s="39"/>
      <c r="M106" s="696"/>
    </row>
    <row r="107" spans="1:13" s="40" customFormat="1" x14ac:dyDescent="0.2">
      <c r="A107" s="41" t="s">
        <v>196</v>
      </c>
      <c r="B107" s="39"/>
      <c r="M107" s="64"/>
    </row>
    <row r="108" spans="1:13" s="40" customFormat="1" x14ac:dyDescent="0.2">
      <c r="A108" s="90" t="s">
        <v>197</v>
      </c>
      <c r="B108" s="39"/>
      <c r="C108" s="76">
        <v>4078</v>
      </c>
      <c r="E108" s="76">
        <v>4104</v>
      </c>
      <c r="G108" s="77">
        <v>4108</v>
      </c>
      <c r="I108" s="76">
        <v>4210</v>
      </c>
      <c r="K108" s="76">
        <v>4312</v>
      </c>
      <c r="M108" s="333"/>
    </row>
    <row r="109" spans="1:13" s="40" customFormat="1" x14ac:dyDescent="0.2">
      <c r="A109" s="90" t="s">
        <v>262</v>
      </c>
      <c r="B109" s="39"/>
      <c r="C109" s="76">
        <v>10</v>
      </c>
      <c r="E109" s="76">
        <v>11</v>
      </c>
      <c r="G109" s="77">
        <v>10</v>
      </c>
      <c r="I109" s="76">
        <v>11</v>
      </c>
      <c r="K109" s="76">
        <v>11</v>
      </c>
      <c r="M109" s="333"/>
    </row>
    <row r="110" spans="1:13" s="40" customFormat="1" x14ac:dyDescent="0.2">
      <c r="A110" s="90" t="s">
        <v>198</v>
      </c>
      <c r="B110" s="39"/>
      <c r="C110" s="76">
        <f>SUM(C108:C109)</f>
        <v>4088</v>
      </c>
      <c r="D110" s="76"/>
      <c r="E110" s="76">
        <f>E109+E108</f>
        <v>4115</v>
      </c>
      <c r="G110" s="77">
        <f>SUM(G108:G109)</f>
        <v>4118</v>
      </c>
      <c r="I110" s="76">
        <f>SUM(I108:I109)</f>
        <v>4221</v>
      </c>
      <c r="K110" s="76">
        <f>SUM(K108:K109)</f>
        <v>4323</v>
      </c>
      <c r="M110" s="333"/>
    </row>
    <row r="111" spans="1:13" s="40" customFormat="1" x14ac:dyDescent="0.2">
      <c r="A111" s="41" t="s">
        <v>199</v>
      </c>
      <c r="B111" s="39"/>
      <c r="C111" s="63"/>
      <c r="E111" s="76"/>
      <c r="I111" s="76"/>
      <c r="K111" s="76"/>
      <c r="M111" s="333"/>
    </row>
    <row r="112" spans="1:13" s="40" customFormat="1" x14ac:dyDescent="0.2">
      <c r="A112" s="90" t="s">
        <v>1036</v>
      </c>
      <c r="B112" s="39"/>
      <c r="C112" s="76">
        <v>3344</v>
      </c>
      <c r="E112" s="76">
        <v>3375</v>
      </c>
      <c r="G112" s="77">
        <v>3418</v>
      </c>
      <c r="I112" s="76">
        <v>3492</v>
      </c>
      <c r="K112" s="76">
        <v>3560</v>
      </c>
      <c r="M112" s="333"/>
    </row>
    <row r="113" spans="1:30" s="40" customFormat="1" x14ac:dyDescent="0.2">
      <c r="A113" s="90" t="s">
        <v>263</v>
      </c>
      <c r="B113" s="39"/>
      <c r="C113" s="76">
        <v>744</v>
      </c>
      <c r="E113" s="76">
        <v>740</v>
      </c>
      <c r="G113" s="77">
        <v>700</v>
      </c>
      <c r="I113" s="76">
        <v>729</v>
      </c>
      <c r="K113" s="76">
        <v>763</v>
      </c>
      <c r="M113" s="333"/>
      <c r="V113" s="674"/>
      <c r="W113" s="674"/>
      <c r="X113" s="674"/>
      <c r="Y113" s="674"/>
      <c r="Z113" s="674"/>
      <c r="AA113" s="674"/>
      <c r="AB113" s="674"/>
      <c r="AC113" s="674"/>
      <c r="AD113" s="674"/>
    </row>
    <row r="114" spans="1:30" s="40" customFormat="1" x14ac:dyDescent="0.2">
      <c r="A114" s="90" t="s">
        <v>198</v>
      </c>
      <c r="B114" s="39"/>
      <c r="C114" s="76">
        <f>SUM(C112:C113)</f>
        <v>4088</v>
      </c>
      <c r="D114" s="76"/>
      <c r="E114" s="76">
        <f>E112+E113</f>
        <v>4115</v>
      </c>
      <c r="G114" s="77">
        <f>SUM(G112:G113)</f>
        <v>4118</v>
      </c>
      <c r="I114" s="76">
        <f>SUM(I112:I113)</f>
        <v>4221</v>
      </c>
      <c r="K114" s="76">
        <f>SUM(K112:K113)</f>
        <v>4323</v>
      </c>
      <c r="M114" s="333"/>
    </row>
    <row r="115" spans="1:30" s="48" customFormat="1" x14ac:dyDescent="0.2">
      <c r="A115" s="46"/>
      <c r="B115" s="47"/>
    </row>
    <row r="116" spans="1:30" s="40" customFormat="1" x14ac:dyDescent="0.2">
      <c r="A116" s="41"/>
      <c r="B116" s="39"/>
      <c r="M116" s="354"/>
    </row>
    <row r="117" spans="1:30" s="48" customFormat="1" x14ac:dyDescent="0.2">
      <c r="A117" s="49" t="s">
        <v>200</v>
      </c>
      <c r="B117" s="50"/>
      <c r="C117" s="51"/>
      <c r="D117" s="52"/>
      <c r="E117" s="698"/>
      <c r="F117" s="52"/>
      <c r="G117" s="53"/>
      <c r="H117" s="52"/>
      <c r="I117" s="53"/>
      <c r="J117" s="52"/>
      <c r="K117" s="53"/>
      <c r="L117" s="52"/>
      <c r="M117" s="51"/>
      <c r="N117" s="52"/>
    </row>
    <row r="118" spans="1:30" ht="27.75" customHeight="1" x14ac:dyDescent="0.2">
      <c r="A118" s="1788" t="s">
        <v>218</v>
      </c>
      <c r="B118" s="1740"/>
      <c r="C118" s="1741"/>
      <c r="D118" s="1740"/>
      <c r="E118" s="1741"/>
      <c r="F118" s="1740"/>
      <c r="G118" s="1741"/>
      <c r="H118" s="1740"/>
      <c r="I118" s="1741"/>
      <c r="J118" s="1740"/>
      <c r="K118" s="1741"/>
      <c r="L118" s="1740"/>
      <c r="M118" s="1741"/>
      <c r="N118" s="1740"/>
      <c r="O118" s="54"/>
      <c r="P118" s="54"/>
      <c r="Q118" s="951"/>
    </row>
    <row r="119" spans="1:30" ht="5.25" customHeight="1" x14ac:dyDescent="0.2">
      <c r="A119" s="699"/>
      <c r="B119" s="137"/>
      <c r="C119" s="138"/>
      <c r="D119" s="137"/>
      <c r="E119" s="700"/>
      <c r="F119" s="137"/>
      <c r="G119" s="138"/>
      <c r="H119" s="137"/>
      <c r="I119" s="138"/>
      <c r="J119" s="137"/>
      <c r="K119" s="138"/>
      <c r="L119" s="137"/>
      <c r="M119" s="138"/>
      <c r="N119" s="137"/>
      <c r="O119" s="54"/>
      <c r="P119" s="54"/>
      <c r="Q119" s="951"/>
    </row>
    <row r="120" spans="1:30" ht="14.1" customHeight="1" x14ac:dyDescent="0.2">
      <c r="A120" s="699"/>
      <c r="B120" s="137"/>
      <c r="C120" s="138"/>
      <c r="D120" s="137"/>
      <c r="E120" s="700"/>
      <c r="F120" s="137"/>
      <c r="G120" s="138"/>
      <c r="H120" s="137"/>
      <c r="I120" s="138"/>
      <c r="J120" s="137"/>
      <c r="K120" s="138"/>
      <c r="L120" s="137"/>
      <c r="M120" s="138"/>
      <c r="N120" s="137"/>
      <c r="O120" s="54"/>
      <c r="P120" s="54"/>
    </row>
    <row r="121" spans="1:30" ht="54.75" customHeight="1" x14ac:dyDescent="0.2">
      <c r="A121" s="1789"/>
      <c r="B121" s="1790"/>
      <c r="C121" s="1791"/>
      <c r="D121" s="1790"/>
      <c r="E121" s="1791"/>
      <c r="F121" s="1790"/>
      <c r="G121" s="1791"/>
      <c r="H121" s="1790"/>
      <c r="I121" s="1791"/>
      <c r="J121" s="1790"/>
      <c r="K121" s="1791"/>
      <c r="L121" s="1790"/>
      <c r="M121" s="1791"/>
      <c r="N121" s="1790"/>
      <c r="O121" s="54"/>
      <c r="P121" s="54"/>
    </row>
    <row r="122" spans="1:30" ht="13.5" customHeight="1" x14ac:dyDescent="0.2">
      <c r="A122" s="1735"/>
      <c r="B122" s="1736"/>
      <c r="C122" s="1737"/>
      <c r="D122" s="1736"/>
      <c r="E122" s="1737"/>
      <c r="F122" s="1736"/>
      <c r="G122" s="1737"/>
      <c r="H122" s="1736"/>
      <c r="I122" s="1737"/>
      <c r="J122" s="1736"/>
      <c r="K122" s="1737"/>
      <c r="L122" s="1736"/>
      <c r="M122" s="1737"/>
      <c r="N122" s="1736"/>
      <c r="O122" s="54"/>
      <c r="P122" s="54"/>
    </row>
    <row r="123" spans="1:30" ht="27.75" customHeight="1" x14ac:dyDescent="0.2">
      <c r="A123" s="1738"/>
      <c r="B123" s="1736"/>
      <c r="C123" s="1737"/>
      <c r="D123" s="1736"/>
      <c r="E123" s="1737"/>
      <c r="F123" s="1736"/>
      <c r="G123" s="1737"/>
      <c r="H123" s="1736"/>
      <c r="I123" s="1737"/>
      <c r="J123" s="1736"/>
      <c r="K123" s="1737"/>
      <c r="L123" s="1736"/>
      <c r="M123" s="1737"/>
      <c r="N123" s="1736"/>
      <c r="O123" s="54"/>
      <c r="P123" s="54"/>
    </row>
    <row r="124" spans="1:30" ht="27.75" customHeight="1" x14ac:dyDescent="0.2">
      <c r="A124" s="1735"/>
      <c r="B124" s="1736"/>
      <c r="C124" s="1737"/>
      <c r="D124" s="1736"/>
      <c r="E124" s="1737"/>
      <c r="F124" s="1736"/>
      <c r="G124" s="1737"/>
      <c r="H124" s="1736"/>
      <c r="I124" s="1737"/>
      <c r="J124" s="1736"/>
      <c r="K124" s="1737"/>
      <c r="L124" s="1736"/>
      <c r="M124" s="1737"/>
      <c r="N124" s="1736"/>
      <c r="O124" s="54"/>
      <c r="P124" s="54"/>
    </row>
    <row r="125" spans="1:30" x14ac:dyDescent="0.2">
      <c r="A125" s="55"/>
      <c r="B125" s="54"/>
      <c r="C125" s="56"/>
      <c r="D125" s="54"/>
      <c r="E125" s="701"/>
      <c r="F125" s="54"/>
      <c r="G125" s="56"/>
      <c r="H125" s="54"/>
      <c r="I125" s="56"/>
      <c r="J125" s="54"/>
      <c r="K125" s="56"/>
      <c r="L125" s="54"/>
      <c r="M125" s="56"/>
      <c r="N125" s="54"/>
      <c r="O125" s="54"/>
      <c r="P125" s="54"/>
    </row>
    <row r="126" spans="1:30" x14ac:dyDescent="0.2">
      <c r="A126" s="55"/>
      <c r="B126" s="54"/>
      <c r="C126" s="107"/>
      <c r="D126" s="54"/>
      <c r="E126" s="702"/>
      <c r="F126" s="54"/>
      <c r="G126" s="107"/>
      <c r="H126" s="54"/>
      <c r="I126" s="107"/>
      <c r="J126" s="54"/>
      <c r="K126" s="107"/>
      <c r="L126" s="54"/>
      <c r="M126" s="107"/>
      <c r="N126" s="54"/>
      <c r="O126" s="54"/>
      <c r="P126" s="54"/>
    </row>
    <row r="127" spans="1:30" x14ac:dyDescent="0.2">
      <c r="A127" s="55"/>
      <c r="B127" s="54"/>
      <c r="C127" s="56"/>
      <c r="D127" s="54"/>
      <c r="E127" s="701"/>
      <c r="F127" s="54"/>
      <c r="G127" s="56"/>
      <c r="H127" s="54"/>
      <c r="I127" s="56"/>
      <c r="J127" s="54"/>
      <c r="K127" s="56"/>
      <c r="L127" s="54"/>
      <c r="M127" s="56"/>
      <c r="N127" s="54"/>
      <c r="O127" s="54"/>
      <c r="P127" s="54"/>
    </row>
    <row r="128" spans="1:30" x14ac:dyDescent="0.2">
      <c r="A128" s="55"/>
      <c r="B128" s="54"/>
      <c r="C128" s="107"/>
      <c r="D128" s="54"/>
      <c r="E128" s="702"/>
      <c r="F128" s="54"/>
      <c r="G128" s="107"/>
      <c r="H128" s="54"/>
      <c r="I128" s="107"/>
      <c r="J128" s="54"/>
      <c r="K128" s="107"/>
      <c r="L128" s="54"/>
      <c r="M128" s="107"/>
      <c r="N128" s="54"/>
      <c r="O128" s="54"/>
      <c r="P128" s="54"/>
    </row>
    <row r="129" spans="1:17" x14ac:dyDescent="0.2">
      <c r="A129" s="55"/>
      <c r="B129" s="54"/>
      <c r="C129" s="56"/>
      <c r="D129" s="54"/>
      <c r="E129" s="701"/>
      <c r="F129" s="54"/>
      <c r="G129" s="56"/>
      <c r="H129" s="54"/>
      <c r="I129" s="56"/>
      <c r="J129" s="54"/>
      <c r="K129" s="56"/>
      <c r="L129" s="54"/>
      <c r="M129" s="56"/>
      <c r="N129" s="54"/>
      <c r="O129" s="54"/>
      <c r="P129" s="54"/>
    </row>
    <row r="130" spans="1:17" x14ac:dyDescent="0.2">
      <c r="A130" s="55"/>
      <c r="B130" s="54"/>
      <c r="C130" s="107"/>
      <c r="D130" s="54"/>
      <c r="E130" s="702"/>
      <c r="F130" s="54"/>
      <c r="G130" s="107"/>
      <c r="H130" s="54"/>
      <c r="I130" s="107"/>
      <c r="J130" s="54"/>
      <c r="K130" s="107"/>
      <c r="L130" s="54"/>
      <c r="M130" s="107"/>
      <c r="N130" s="54"/>
      <c r="O130" s="54"/>
      <c r="P130" s="54"/>
    </row>
    <row r="131" spans="1:17" x14ac:dyDescent="0.2">
      <c r="A131" s="55"/>
      <c r="B131" s="54"/>
      <c r="C131" s="107"/>
      <c r="D131" s="54"/>
      <c r="E131" s="702"/>
      <c r="F131" s="54"/>
      <c r="G131" s="107"/>
      <c r="H131" s="54"/>
      <c r="I131" s="107"/>
      <c r="J131" s="54"/>
      <c r="K131" s="107"/>
      <c r="L131" s="54"/>
      <c r="M131" s="107"/>
      <c r="N131" s="54"/>
      <c r="O131" s="54"/>
      <c r="P131" s="54"/>
    </row>
    <row r="132" spans="1:17" x14ac:dyDescent="0.2">
      <c r="A132" s="55"/>
      <c r="B132" s="54"/>
      <c r="C132" s="107"/>
      <c r="D132" s="54"/>
      <c r="E132" s="702"/>
      <c r="F132" s="54"/>
      <c r="G132" s="107"/>
      <c r="H132" s="54"/>
      <c r="I132" s="107"/>
      <c r="J132" s="54"/>
      <c r="K132" s="107"/>
      <c r="L132" s="54"/>
      <c r="M132" s="107"/>
      <c r="N132" s="54"/>
      <c r="O132" s="54"/>
      <c r="P132" s="54"/>
      <c r="Q132" s="57"/>
    </row>
    <row r="133" spans="1:17" x14ac:dyDescent="0.2">
      <c r="B133" s="25"/>
      <c r="C133" s="58"/>
      <c r="D133" s="25"/>
      <c r="E133" s="703"/>
      <c r="F133" s="58"/>
      <c r="G133" s="58"/>
      <c r="H133" s="58"/>
    </row>
    <row r="134" spans="1:17" x14ac:dyDescent="0.2">
      <c r="B134" s="25"/>
      <c r="C134" s="58"/>
      <c r="D134" s="25"/>
      <c r="E134" s="703"/>
      <c r="F134" s="58"/>
      <c r="G134" s="58"/>
      <c r="H134" s="58"/>
    </row>
    <row r="135" spans="1:17" x14ac:dyDescent="0.2">
      <c r="B135" s="25"/>
      <c r="C135" s="58"/>
      <c r="D135" s="25"/>
      <c r="E135" s="703"/>
      <c r="F135" s="58"/>
      <c r="G135" s="58"/>
      <c r="H135" s="58"/>
    </row>
    <row r="136" spans="1:17" x14ac:dyDescent="0.2">
      <c r="B136" s="25"/>
      <c r="C136" s="58"/>
      <c r="D136" s="25"/>
      <c r="E136" s="703"/>
      <c r="F136" s="58"/>
      <c r="G136" s="58"/>
      <c r="H136" s="58"/>
    </row>
    <row r="137" spans="1:17" x14ac:dyDescent="0.2">
      <c r="B137" s="25"/>
      <c r="C137" s="58"/>
      <c r="D137" s="25"/>
      <c r="E137" s="703"/>
      <c r="F137" s="58"/>
      <c r="G137" s="58"/>
      <c r="H137" s="58"/>
    </row>
    <row r="138" spans="1:17" x14ac:dyDescent="0.2">
      <c r="B138" s="25"/>
      <c r="C138" s="58"/>
      <c r="D138" s="25"/>
      <c r="E138" s="703"/>
      <c r="F138" s="58"/>
      <c r="G138" s="58"/>
      <c r="H138" s="58"/>
    </row>
    <row r="139" spans="1:17" x14ac:dyDescent="0.2">
      <c r="B139" s="25"/>
      <c r="C139" s="58"/>
      <c r="D139" s="25"/>
      <c r="E139" s="703"/>
      <c r="F139" s="58"/>
      <c r="G139" s="58"/>
      <c r="H139" s="58"/>
    </row>
    <row r="140" spans="1:17" x14ac:dyDescent="0.2">
      <c r="B140" s="25"/>
      <c r="C140" s="58"/>
      <c r="D140" s="25"/>
      <c r="E140" s="703"/>
      <c r="F140" s="58"/>
      <c r="G140" s="58"/>
      <c r="H140" s="58"/>
    </row>
    <row r="141" spans="1:17" x14ac:dyDescent="0.2">
      <c r="B141" s="25"/>
      <c r="C141" s="58"/>
      <c r="D141" s="25"/>
      <c r="E141" s="703"/>
      <c r="F141" s="58"/>
      <c r="G141" s="58"/>
      <c r="H141" s="58"/>
    </row>
    <row r="142" spans="1:17" x14ac:dyDescent="0.2">
      <c r="B142" s="25"/>
      <c r="C142" s="58"/>
      <c r="D142" s="25"/>
      <c r="E142" s="703"/>
      <c r="F142" s="58"/>
      <c r="G142" s="58"/>
      <c r="H142" s="58"/>
    </row>
    <row r="143" spans="1:17" x14ac:dyDescent="0.2">
      <c r="B143" s="25"/>
      <c r="C143" s="58"/>
      <c r="D143" s="25"/>
      <c r="E143" s="703"/>
      <c r="F143" s="58"/>
      <c r="G143" s="58"/>
      <c r="H143" s="58"/>
    </row>
    <row r="144" spans="1:17" x14ac:dyDescent="0.2">
      <c r="B144" s="25"/>
      <c r="C144" s="58"/>
      <c r="D144" s="25"/>
      <c r="E144" s="703"/>
      <c r="F144" s="58"/>
      <c r="G144" s="58"/>
      <c r="H144" s="58"/>
    </row>
    <row r="145" spans="2:8" x14ac:dyDescent="0.2">
      <c r="B145" s="25"/>
      <c r="C145" s="58"/>
      <c r="D145" s="25"/>
      <c r="E145" s="703"/>
      <c r="F145" s="58"/>
      <c r="G145" s="58"/>
      <c r="H145" s="58"/>
    </row>
    <row r="146" spans="2:8" x14ac:dyDescent="0.2">
      <c r="B146" s="25"/>
      <c r="C146" s="58"/>
      <c r="D146" s="25"/>
      <c r="E146" s="703"/>
      <c r="F146" s="58"/>
      <c r="G146" s="58"/>
      <c r="H146" s="58"/>
    </row>
    <row r="147" spans="2:8" x14ac:dyDescent="0.2">
      <c r="B147" s="25"/>
      <c r="C147" s="58"/>
      <c r="D147" s="25"/>
      <c r="E147" s="703"/>
      <c r="F147" s="58"/>
      <c r="G147" s="58"/>
      <c r="H147" s="58"/>
    </row>
    <row r="148" spans="2:8" x14ac:dyDescent="0.2">
      <c r="B148" s="25"/>
      <c r="C148" s="58"/>
      <c r="D148" s="25"/>
      <c r="E148" s="703"/>
      <c r="F148" s="58"/>
      <c r="G148" s="58"/>
      <c r="H148" s="58"/>
    </row>
    <row r="149" spans="2:8" x14ac:dyDescent="0.2">
      <c r="B149" s="25"/>
      <c r="C149" s="25"/>
      <c r="D149" s="25"/>
      <c r="E149" s="703"/>
      <c r="F149" s="58"/>
      <c r="G149" s="58"/>
      <c r="H149" s="58"/>
    </row>
    <row r="150" spans="2:8" x14ac:dyDescent="0.2">
      <c r="B150" s="25"/>
      <c r="C150" s="25"/>
      <c r="D150" s="25"/>
      <c r="E150" s="703"/>
      <c r="F150" s="58"/>
      <c r="G150" s="58"/>
      <c r="H150" s="58"/>
    </row>
    <row r="151" spans="2:8" x14ac:dyDescent="0.2">
      <c r="B151" s="25"/>
      <c r="C151" s="25"/>
      <c r="D151" s="25"/>
      <c r="E151" s="703"/>
      <c r="F151" s="58"/>
      <c r="G151" s="58"/>
      <c r="H151" s="58"/>
    </row>
    <row r="152" spans="2:8" x14ac:dyDescent="0.2">
      <c r="B152" s="25"/>
      <c r="C152" s="25"/>
      <c r="D152" s="25"/>
      <c r="E152" s="703"/>
      <c r="F152" s="58"/>
      <c r="G152" s="58"/>
      <c r="H152" s="58"/>
    </row>
    <row r="153" spans="2:8" x14ac:dyDescent="0.2">
      <c r="B153" s="25"/>
      <c r="C153" s="25"/>
      <c r="D153" s="25"/>
      <c r="E153" s="703"/>
      <c r="F153" s="58"/>
      <c r="G153" s="58"/>
      <c r="H153" s="58"/>
    </row>
    <row r="154" spans="2:8" x14ac:dyDescent="0.2">
      <c r="B154" s="25"/>
      <c r="C154" s="25"/>
      <c r="D154" s="25"/>
      <c r="E154" s="703"/>
      <c r="F154" s="58"/>
      <c r="G154" s="58"/>
      <c r="H154" s="58"/>
    </row>
    <row r="155" spans="2:8" x14ac:dyDescent="0.2">
      <c r="B155" s="25"/>
      <c r="C155" s="25"/>
      <c r="D155" s="25"/>
      <c r="E155" s="703"/>
      <c r="F155" s="58"/>
      <c r="G155" s="58"/>
      <c r="H155" s="58"/>
    </row>
    <row r="156" spans="2:8" x14ac:dyDescent="0.2">
      <c r="B156" s="25"/>
      <c r="C156" s="25"/>
      <c r="D156" s="25"/>
      <c r="E156" s="703"/>
      <c r="F156" s="58"/>
      <c r="G156" s="58"/>
      <c r="H156" s="58"/>
    </row>
    <row r="157" spans="2:8" x14ac:dyDescent="0.2">
      <c r="B157" s="25"/>
      <c r="C157" s="25"/>
      <c r="D157" s="25"/>
      <c r="E157" s="703"/>
      <c r="F157" s="58"/>
      <c r="G157" s="58"/>
      <c r="H157" s="58"/>
    </row>
    <row r="158" spans="2:8" x14ac:dyDescent="0.2">
      <c r="B158" s="25"/>
      <c r="C158" s="25"/>
      <c r="D158" s="25"/>
      <c r="E158" s="703"/>
      <c r="F158" s="58"/>
      <c r="G158" s="58"/>
      <c r="H158" s="58"/>
    </row>
    <row r="159" spans="2:8" x14ac:dyDescent="0.2">
      <c r="B159" s="25"/>
      <c r="C159" s="25"/>
      <c r="D159" s="25"/>
      <c r="E159" s="703"/>
      <c r="F159" s="58"/>
      <c r="G159" s="58"/>
      <c r="H159" s="58"/>
    </row>
    <row r="160" spans="2:8" x14ac:dyDescent="0.2">
      <c r="B160" s="25"/>
      <c r="C160" s="25"/>
      <c r="D160" s="25"/>
      <c r="E160" s="703"/>
      <c r="F160" s="58"/>
      <c r="G160" s="58"/>
      <c r="H160" s="58"/>
    </row>
    <row r="161" spans="2:8" x14ac:dyDescent="0.2">
      <c r="B161" s="25"/>
      <c r="C161" s="25"/>
      <c r="D161" s="25"/>
      <c r="E161" s="703"/>
      <c r="F161" s="58"/>
      <c r="G161" s="58"/>
      <c r="H161" s="58"/>
    </row>
    <row r="162" spans="2:8" x14ac:dyDescent="0.2">
      <c r="B162" s="25"/>
    </row>
    <row r="163" spans="2:8" x14ac:dyDescent="0.2">
      <c r="B163" s="25"/>
    </row>
    <row r="164" spans="2:8" x14ac:dyDescent="0.2">
      <c r="B164" s="25"/>
    </row>
    <row r="165" spans="2:8" x14ac:dyDescent="0.2">
      <c r="B165" s="25"/>
    </row>
    <row r="166" spans="2:8" x14ac:dyDescent="0.2">
      <c r="B166" s="25"/>
    </row>
    <row r="167" spans="2:8" x14ac:dyDescent="0.2">
      <c r="B167" s="25"/>
    </row>
    <row r="168" spans="2:8" x14ac:dyDescent="0.2">
      <c r="B168" s="25"/>
    </row>
    <row r="169" spans="2:8" x14ac:dyDescent="0.2">
      <c r="B169" s="25"/>
    </row>
    <row r="170" spans="2:8" x14ac:dyDescent="0.2">
      <c r="B170" s="25"/>
    </row>
    <row r="171" spans="2:8" x14ac:dyDescent="0.2">
      <c r="B171" s="25"/>
    </row>
    <row r="172" spans="2:8" x14ac:dyDescent="0.2">
      <c r="B172" s="25"/>
    </row>
    <row r="173" spans="2:8" x14ac:dyDescent="0.2">
      <c r="B173" s="25"/>
    </row>
    <row r="174" spans="2:8" x14ac:dyDescent="0.2">
      <c r="B174" s="25"/>
    </row>
    <row r="175" spans="2:8" x14ac:dyDescent="0.2">
      <c r="B175" s="25"/>
    </row>
    <row r="176" spans="2:8" x14ac:dyDescent="0.2">
      <c r="B176" s="25"/>
    </row>
    <row r="177" spans="2:2" x14ac:dyDescent="0.2">
      <c r="B177" s="25"/>
    </row>
    <row r="178" spans="2:2" x14ac:dyDescent="0.2">
      <c r="B178" s="25"/>
    </row>
  </sheetData>
  <mergeCells count="6">
    <mergeCell ref="A124:N124"/>
    <mergeCell ref="K2:K3"/>
    <mergeCell ref="A118:N118"/>
    <mergeCell ref="A121:N121"/>
    <mergeCell ref="A122:N122"/>
    <mergeCell ref="A123:N12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8">
    <pageSetUpPr fitToPage="1"/>
  </sheetPr>
  <dimension ref="A1:Q93"/>
  <sheetViews>
    <sheetView showGridLines="0" zoomScale="110" zoomScaleNormal="110" workbookViewId="0">
      <pane xSplit="2" ySplit="9" topLeftCell="C10" activePane="bottomRight" state="frozen"/>
      <selection activeCell="A19" sqref="A19"/>
      <selection pane="topRight" activeCell="A19" sqref="A19"/>
      <selection pane="bottomLeft" activeCell="A19" sqref="A19"/>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818</v>
      </c>
      <c r="C3" s="10" t="s">
        <v>1057</v>
      </c>
      <c r="D3" s="6"/>
      <c r="E3" s="11"/>
      <c r="F3" s="9"/>
      <c r="G3" s="11"/>
      <c r="H3" s="6"/>
      <c r="I3" s="11"/>
      <c r="J3" s="6"/>
      <c r="K3" s="1734"/>
      <c r="L3" s="6"/>
      <c r="M3" s="11"/>
      <c r="N3" s="6"/>
    </row>
    <row r="4" spans="1:16" s="4" customFormat="1" ht="15.75" x14ac:dyDescent="0.25">
      <c r="A4" s="1" t="s">
        <v>180</v>
      </c>
      <c r="B4" s="10" t="s">
        <v>1058</v>
      </c>
      <c r="C4" s="10" t="s">
        <v>1059</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row>
    <row r="11" spans="1:16" s="40" customFormat="1" x14ac:dyDescent="0.2">
      <c r="A11" s="38" t="s">
        <v>413</v>
      </c>
      <c r="B11" s="39"/>
      <c r="E11" s="704"/>
      <c r="I11" s="496"/>
    </row>
    <row r="12" spans="1:16" s="40" customFormat="1" x14ac:dyDescent="0.2">
      <c r="A12" s="41" t="s">
        <v>332</v>
      </c>
      <c r="B12" s="39"/>
      <c r="C12" s="43">
        <f>103+1282</f>
        <v>1385</v>
      </c>
      <c r="D12" s="44"/>
      <c r="E12" s="43">
        <f>107+1441</f>
        <v>1548</v>
      </c>
      <c r="F12" s="44"/>
      <c r="G12" s="44"/>
      <c r="H12" s="44"/>
      <c r="I12" s="492">
        <v>1332</v>
      </c>
      <c r="K12" s="42"/>
      <c r="M12" s="42"/>
    </row>
    <row r="13" spans="1:16" s="40" customFormat="1" x14ac:dyDescent="0.2">
      <c r="A13" s="41" t="s">
        <v>256</v>
      </c>
      <c r="B13" s="39"/>
      <c r="C13" s="705">
        <f>C12/(5379+71)</f>
        <v>0.25412844036697246</v>
      </c>
      <c r="E13" s="705">
        <f>E12/(5396+71)</f>
        <v>0.28315346625205778</v>
      </c>
      <c r="G13" s="101"/>
      <c r="I13" s="706">
        <f>I12/5589</f>
        <v>0.23832528180354268</v>
      </c>
      <c r="K13" s="101"/>
      <c r="M13" s="101"/>
    </row>
    <row r="14" spans="1:16" s="40" customFormat="1" x14ac:dyDescent="0.2">
      <c r="A14" s="41" t="s">
        <v>257</v>
      </c>
      <c r="B14" s="39"/>
      <c r="C14" s="217">
        <f>317+2210</f>
        <v>2527</v>
      </c>
      <c r="E14" s="217">
        <f>339+2602</f>
        <v>2941</v>
      </c>
      <c r="G14" s="77"/>
      <c r="I14" s="518">
        <v>2574</v>
      </c>
      <c r="K14" s="77"/>
      <c r="M14" s="77"/>
    </row>
    <row r="15" spans="1:16" s="40" customFormat="1" x14ac:dyDescent="0.2">
      <c r="A15" s="41" t="s">
        <v>258</v>
      </c>
      <c r="B15" s="39"/>
      <c r="C15" s="705">
        <f>C14/(5379+71)</f>
        <v>0.46366972477064222</v>
      </c>
      <c r="E15" s="705">
        <f>E14/(5396+71)</f>
        <v>0.53795500274373509</v>
      </c>
      <c r="G15" s="101"/>
      <c r="I15" s="706">
        <f>I14/5589</f>
        <v>0.46054750402576489</v>
      </c>
      <c r="K15" s="101"/>
      <c r="M15" s="101"/>
    </row>
    <row r="16" spans="1:16" s="40" customFormat="1" x14ac:dyDescent="0.2">
      <c r="A16" s="41" t="s">
        <v>259</v>
      </c>
      <c r="B16" s="39"/>
      <c r="C16" s="217">
        <f>C12+C14</f>
        <v>3912</v>
      </c>
      <c r="E16" s="217">
        <f>E12+E14</f>
        <v>4489</v>
      </c>
      <c r="G16" s="77"/>
      <c r="I16" s="518">
        <f>I12+I14</f>
        <v>3906</v>
      </c>
      <c r="K16" s="77"/>
      <c r="M16" s="77"/>
    </row>
    <row r="17" spans="1:17" s="40" customFormat="1" x14ac:dyDescent="0.2">
      <c r="A17" s="41" t="s">
        <v>260</v>
      </c>
      <c r="B17" s="39"/>
      <c r="C17" s="705">
        <f>C13+C15</f>
        <v>0.71779816513761463</v>
      </c>
      <c r="E17" s="705">
        <f>E13+E15</f>
        <v>0.82110846899579282</v>
      </c>
      <c r="F17" s="705"/>
      <c r="G17" s="705">
        <f t="shared" ref="G17:H17" si="0">G13+G15</f>
        <v>0</v>
      </c>
      <c r="H17" s="705">
        <f t="shared" si="0"/>
        <v>0</v>
      </c>
      <c r="I17" s="707">
        <f>I13+I15</f>
        <v>0.69887278582930756</v>
      </c>
      <c r="K17" s="101"/>
      <c r="M17" s="101"/>
    </row>
    <row r="18" spans="1:17" s="37" customFormat="1" x14ac:dyDescent="0.2">
      <c r="A18" s="35" t="s">
        <v>211</v>
      </c>
      <c r="B18" s="36"/>
    </row>
    <row r="19" spans="1:17" s="37" customFormat="1" x14ac:dyDescent="0.2">
      <c r="A19" s="35" t="s">
        <v>195</v>
      </c>
      <c r="B19" s="36"/>
    </row>
    <row r="20" spans="1:17" s="40" customFormat="1" x14ac:dyDescent="0.2">
      <c r="A20" s="38" t="s">
        <v>196</v>
      </c>
      <c r="B20" s="39"/>
    </row>
    <row r="21" spans="1:17" s="40" customFormat="1" x14ac:dyDescent="0.2">
      <c r="A21" s="41" t="s">
        <v>197</v>
      </c>
      <c r="B21" s="39"/>
      <c r="C21" s="577">
        <f>65+19</f>
        <v>84</v>
      </c>
      <c r="E21" s="577">
        <f>72+19</f>
        <v>91</v>
      </c>
      <c r="G21" s="577">
        <v>68</v>
      </c>
      <c r="I21" s="577">
        <v>83</v>
      </c>
      <c r="K21" s="577">
        <v>116</v>
      </c>
      <c r="M21" s="463"/>
    </row>
    <row r="22" spans="1:17" s="40" customFormat="1" x14ac:dyDescent="0.2">
      <c r="A22" s="41" t="s">
        <v>261</v>
      </c>
      <c r="B22" s="39"/>
      <c r="C22" s="76">
        <v>4</v>
      </c>
      <c r="E22" s="76">
        <v>3</v>
      </c>
      <c r="G22" s="76">
        <v>3</v>
      </c>
      <c r="I22" s="76">
        <v>6</v>
      </c>
      <c r="K22" s="76">
        <v>6</v>
      </c>
      <c r="M22" s="77"/>
    </row>
    <row r="23" spans="1:17" s="40" customFormat="1" x14ac:dyDescent="0.2">
      <c r="A23" s="41" t="s">
        <v>262</v>
      </c>
      <c r="B23" s="39"/>
      <c r="C23" s="76">
        <v>113</v>
      </c>
      <c r="D23" s="77"/>
      <c r="E23" s="76">
        <v>109</v>
      </c>
      <c r="G23" s="78">
        <v>111</v>
      </c>
      <c r="I23" s="78">
        <f>55+51</f>
        <v>106</v>
      </c>
      <c r="K23" s="76">
        <f>54+51</f>
        <v>105</v>
      </c>
      <c r="M23" s="77"/>
    </row>
    <row r="24" spans="1:17" s="40" customFormat="1" x14ac:dyDescent="0.2">
      <c r="A24" s="41" t="s">
        <v>198</v>
      </c>
      <c r="B24" s="39"/>
      <c r="C24" s="78">
        <f>SUM(C21:C23)</f>
        <v>201</v>
      </c>
      <c r="E24" s="78">
        <f>SUM(E21:E23)</f>
        <v>203</v>
      </c>
      <c r="G24" s="78">
        <f>SUM(G21:G23)</f>
        <v>182</v>
      </c>
      <c r="I24" s="78">
        <f>SUM(I21:I23)</f>
        <v>195</v>
      </c>
      <c r="K24" s="76">
        <f>SUM(K21:K23)</f>
        <v>227</v>
      </c>
      <c r="M24" s="77"/>
    </row>
    <row r="25" spans="1:17" s="40" customFormat="1" x14ac:dyDescent="0.2">
      <c r="A25" s="38" t="s">
        <v>199</v>
      </c>
      <c r="B25" s="39"/>
      <c r="C25" s="78"/>
    </row>
    <row r="26" spans="1:17" s="40" customFormat="1" x14ac:dyDescent="0.2">
      <c r="A26" s="41" t="s">
        <v>263</v>
      </c>
      <c r="B26" s="39"/>
      <c r="C26" s="78">
        <v>201</v>
      </c>
      <c r="E26" s="78">
        <v>203</v>
      </c>
      <c r="G26" s="78">
        <v>182</v>
      </c>
      <c r="I26" s="78">
        <v>195</v>
      </c>
      <c r="K26" s="76">
        <v>227</v>
      </c>
      <c r="M26" s="77"/>
    </row>
    <row r="27" spans="1:17" s="40" customFormat="1" x14ac:dyDescent="0.2">
      <c r="A27" s="41" t="s">
        <v>198</v>
      </c>
      <c r="B27" s="39"/>
      <c r="C27" s="78">
        <f>SUM(C26)</f>
        <v>201</v>
      </c>
      <c r="D27" s="78" t="s">
        <v>352</v>
      </c>
      <c r="E27" s="78">
        <v>203</v>
      </c>
      <c r="F27" s="78" t="s">
        <v>352</v>
      </c>
      <c r="G27" s="78">
        <f>SUM(G26)</f>
        <v>182</v>
      </c>
      <c r="I27" s="78">
        <v>195</v>
      </c>
      <c r="K27" s="76">
        <v>227</v>
      </c>
      <c r="M27" s="77"/>
    </row>
    <row r="28" spans="1:17" s="48" customFormat="1" x14ac:dyDescent="0.2">
      <c r="A28" s="46"/>
      <c r="B28" s="47"/>
      <c r="I28" s="53"/>
    </row>
    <row r="29" spans="1:17" s="48" customFormat="1" x14ac:dyDescent="0.2">
      <c r="A29" s="49" t="s">
        <v>200</v>
      </c>
      <c r="B29" s="50"/>
      <c r="C29" s="51"/>
      <c r="D29" s="52"/>
      <c r="E29" s="53"/>
      <c r="F29" s="52"/>
      <c r="G29" s="53"/>
      <c r="H29" s="52"/>
      <c r="J29" s="52"/>
      <c r="K29" s="53"/>
      <c r="L29" s="52"/>
      <c r="M29" s="51"/>
      <c r="N29" s="52"/>
    </row>
    <row r="30" spans="1:17" ht="34.5" customHeight="1" x14ac:dyDescent="0.2">
      <c r="A30" s="1758" t="s">
        <v>264</v>
      </c>
      <c r="B30" s="1736"/>
      <c r="C30" s="1737"/>
      <c r="D30" s="1736"/>
      <c r="E30" s="1737"/>
      <c r="F30" s="1736"/>
      <c r="G30" s="1737"/>
      <c r="H30" s="1736"/>
      <c r="I30" s="1737"/>
      <c r="J30" s="1736"/>
      <c r="K30" s="1737"/>
      <c r="L30" s="1736"/>
      <c r="M30" s="1737"/>
      <c r="N30" s="1736"/>
      <c r="O30" s="54"/>
      <c r="P30" s="54"/>
      <c r="Q30" s="951"/>
    </row>
    <row r="31" spans="1:17" ht="27.75" customHeight="1" x14ac:dyDescent="0.2">
      <c r="A31" s="1738" t="s">
        <v>978</v>
      </c>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ht="27.75" customHeight="1" x14ac:dyDescent="0.2">
      <c r="A37" s="1735"/>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ht="27.75" customHeight="1" x14ac:dyDescent="0.2">
      <c r="A39" s="1735"/>
      <c r="B39" s="1736"/>
      <c r="C39" s="1737"/>
      <c r="D39" s="1736"/>
      <c r="E39" s="1737"/>
      <c r="F39" s="1736"/>
      <c r="G39" s="1737"/>
      <c r="H39" s="1736"/>
      <c r="I39" s="1737"/>
      <c r="J39" s="1736"/>
      <c r="K39" s="1737"/>
      <c r="L39" s="1736"/>
      <c r="M39" s="1737"/>
      <c r="N39" s="1736"/>
      <c r="O39" s="54"/>
      <c r="P39" s="54"/>
    </row>
    <row r="40" spans="1:17" x14ac:dyDescent="0.2">
      <c r="A40" s="55"/>
      <c r="B40" s="54"/>
      <c r="C40" s="56"/>
      <c r="D40" s="54"/>
      <c r="E40" s="56"/>
      <c r="F40" s="54"/>
      <c r="G40" s="56"/>
      <c r="H40" s="54"/>
      <c r="I40" s="56"/>
      <c r="J40" s="54"/>
      <c r="K40" s="56"/>
      <c r="L40" s="54"/>
      <c r="M40" s="56"/>
      <c r="N40" s="54"/>
      <c r="O40" s="54"/>
      <c r="P40" s="54"/>
    </row>
    <row r="41" spans="1:17" x14ac:dyDescent="0.2">
      <c r="A41" s="55"/>
      <c r="B41" s="54"/>
      <c r="C41" s="54"/>
      <c r="D41" s="54"/>
      <c r="E41" s="54"/>
      <c r="F41" s="54"/>
      <c r="G41" s="54"/>
      <c r="H41" s="54"/>
      <c r="I41" s="54"/>
      <c r="J41" s="54"/>
      <c r="K41" s="54"/>
      <c r="L41" s="54"/>
      <c r="M41" s="54"/>
      <c r="N41" s="54"/>
      <c r="O41" s="54"/>
      <c r="P41" s="54"/>
    </row>
    <row r="42" spans="1:17" x14ac:dyDescent="0.2">
      <c r="A42" s="55"/>
      <c r="B42" s="54"/>
      <c r="C42" s="56"/>
      <c r="D42" s="54"/>
      <c r="E42" s="56"/>
      <c r="F42" s="54"/>
      <c r="G42" s="56"/>
      <c r="H42" s="54"/>
      <c r="I42" s="56"/>
      <c r="J42" s="54"/>
      <c r="K42" s="56"/>
      <c r="L42" s="54"/>
      <c r="M42" s="56"/>
      <c r="N42" s="54"/>
      <c r="O42" s="54"/>
      <c r="P42" s="54"/>
    </row>
    <row r="43" spans="1:17" x14ac:dyDescent="0.2">
      <c r="A43" s="55"/>
      <c r="B43" s="54"/>
      <c r="C43" s="54"/>
      <c r="D43" s="54"/>
      <c r="E43" s="54"/>
      <c r="F43" s="54"/>
      <c r="G43" s="54"/>
      <c r="H43" s="54"/>
      <c r="I43" s="54"/>
      <c r="J43" s="54"/>
      <c r="K43" s="54"/>
      <c r="L43" s="54"/>
      <c r="M43" s="54"/>
      <c r="N43" s="54"/>
      <c r="O43" s="54"/>
      <c r="P43" s="54"/>
    </row>
    <row r="44" spans="1:17" x14ac:dyDescent="0.2">
      <c r="A44" s="55"/>
      <c r="B44" s="54"/>
      <c r="C44" s="56"/>
      <c r="D44" s="54"/>
      <c r="E44" s="56"/>
      <c r="F44" s="54"/>
      <c r="G44" s="56"/>
      <c r="H44" s="54"/>
      <c r="I44" s="56"/>
      <c r="J44" s="54"/>
      <c r="K44" s="56"/>
      <c r="L44" s="54"/>
      <c r="M44" s="56"/>
      <c r="N44" s="54"/>
      <c r="O44" s="54"/>
      <c r="P44" s="54"/>
    </row>
    <row r="45" spans="1:17" x14ac:dyDescent="0.2">
      <c r="A45" s="55"/>
      <c r="B45" s="54"/>
      <c r="C45" s="54"/>
      <c r="D45" s="54"/>
      <c r="E45" s="54"/>
      <c r="F45" s="54"/>
      <c r="G45" s="54"/>
      <c r="H45" s="54"/>
      <c r="I45" s="54"/>
      <c r="J45" s="54"/>
      <c r="K45" s="54"/>
      <c r="L45" s="54"/>
      <c r="M45" s="54"/>
      <c r="N45" s="54"/>
      <c r="O45" s="54"/>
      <c r="P45" s="54"/>
    </row>
    <row r="46" spans="1:17" x14ac:dyDescent="0.2">
      <c r="A46" s="55"/>
      <c r="B46" s="54"/>
      <c r="C46" s="54"/>
      <c r="D46" s="54"/>
      <c r="E46" s="54"/>
      <c r="F46" s="54"/>
      <c r="G46" s="54"/>
      <c r="H46" s="54"/>
      <c r="I46" s="54"/>
      <c r="J46" s="54"/>
      <c r="K46" s="54"/>
      <c r="L46" s="54"/>
      <c r="M46" s="54"/>
      <c r="N46" s="54"/>
      <c r="O46" s="54"/>
      <c r="P46" s="54"/>
    </row>
    <row r="47" spans="1:17" x14ac:dyDescent="0.2">
      <c r="A47" s="55"/>
      <c r="B47" s="54"/>
      <c r="C47" s="54"/>
      <c r="D47" s="54"/>
      <c r="E47" s="54"/>
      <c r="F47" s="54"/>
      <c r="G47" s="54"/>
      <c r="H47" s="54"/>
      <c r="I47" s="54"/>
      <c r="J47" s="54"/>
      <c r="K47" s="54"/>
      <c r="L47" s="54"/>
      <c r="M47" s="54"/>
      <c r="N47" s="54"/>
      <c r="O47" s="54"/>
      <c r="P47" s="54"/>
      <c r="Q47" s="57"/>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sheetData>
  <mergeCells count="11">
    <mergeCell ref="A36:N36"/>
    <mergeCell ref="A37:N37"/>
    <mergeCell ref="A38:N38"/>
    <mergeCell ref="A39:N39"/>
    <mergeCell ref="K2:K3"/>
    <mergeCell ref="A30:N30"/>
    <mergeCell ref="A31:N31"/>
    <mergeCell ref="A32:N32"/>
    <mergeCell ref="A33:N33"/>
    <mergeCell ref="A34:N34"/>
    <mergeCell ref="A35:N35"/>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8">
    <pageSetUpPr fitToPage="1"/>
  </sheetPr>
  <dimension ref="A1:V147"/>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8.7109375" style="722" customWidth="1"/>
    <col min="2" max="2" width="8.140625" style="723" customWidth="1"/>
    <col min="3" max="3" width="15.42578125" style="822" customWidth="1"/>
    <col min="4" max="4" width="3" style="822" customWidth="1"/>
    <col min="5" max="5" width="15.28515625" style="758" customWidth="1"/>
    <col min="6" max="6" width="2.7109375" style="756" customWidth="1"/>
    <col min="7" max="7" width="10.7109375" style="758" hidden="1" customWidth="1"/>
    <col min="8" max="8" width="7" style="756" hidden="1" customWidth="1"/>
    <col min="9" max="9" width="16" style="758" customWidth="1"/>
    <col min="10" max="10" width="3.140625" style="756" bestFit="1" customWidth="1"/>
    <col min="11" max="11" width="16" style="758" customWidth="1"/>
    <col min="12" max="12" width="3.140625" style="756" bestFit="1" customWidth="1"/>
    <col min="13" max="13" width="16" style="758" hidden="1" customWidth="1"/>
    <col min="14" max="14" width="3.140625" style="756" hidden="1" customWidth="1"/>
    <col min="15" max="15" width="15.42578125" style="758" bestFit="1" customWidth="1"/>
    <col min="16" max="16" width="3.5703125" style="756" bestFit="1" customWidth="1"/>
    <col min="17" max="17" width="15.42578125" style="724" bestFit="1" customWidth="1"/>
    <col min="18" max="18" width="9.140625" style="724"/>
    <col min="19" max="20" width="15.42578125" style="724" bestFit="1" customWidth="1"/>
    <col min="21" max="16384" width="9.140625" style="724"/>
  </cols>
  <sheetData>
    <row r="1" spans="1:22" s="709" customFormat="1" ht="15.75" x14ac:dyDescent="0.2">
      <c r="A1" s="1" t="s">
        <v>174</v>
      </c>
      <c r="B1" s="2">
        <v>2019</v>
      </c>
      <c r="C1" s="708"/>
      <c r="E1" s="708"/>
      <c r="G1" s="710"/>
      <c r="I1" s="710"/>
      <c r="J1" s="711"/>
      <c r="K1" s="710"/>
      <c r="L1" s="711"/>
      <c r="M1" s="710"/>
      <c r="N1" s="711"/>
    </row>
    <row r="2" spans="1:22" s="709" customFormat="1" ht="15.75" x14ac:dyDescent="0.25">
      <c r="A2" s="1" t="s">
        <v>175</v>
      </c>
      <c r="B2" s="7" t="s">
        <v>176</v>
      </c>
      <c r="C2" s="7" t="s">
        <v>0</v>
      </c>
      <c r="D2" s="711"/>
      <c r="E2" s="712"/>
      <c r="F2" s="713"/>
      <c r="G2" s="712"/>
      <c r="H2" s="711"/>
      <c r="I2" s="712"/>
      <c r="J2" s="711"/>
      <c r="K2" s="1733" t="s">
        <v>171</v>
      </c>
      <c r="L2" s="711"/>
      <c r="M2" s="712"/>
      <c r="N2" s="711"/>
    </row>
    <row r="3" spans="1:22" s="709" customFormat="1" ht="15.75" x14ac:dyDescent="0.25">
      <c r="A3" s="1" t="s">
        <v>177</v>
      </c>
      <c r="B3" s="10" t="s">
        <v>1060</v>
      </c>
      <c r="C3" s="10" t="s">
        <v>1061</v>
      </c>
      <c r="D3" s="711"/>
      <c r="E3" s="714"/>
      <c r="F3" s="713"/>
      <c r="G3" s="714"/>
      <c r="H3" s="711"/>
      <c r="I3" s="714"/>
      <c r="J3" s="711"/>
      <c r="K3" s="1734"/>
      <c r="L3" s="711"/>
      <c r="M3" s="714"/>
      <c r="N3" s="711"/>
    </row>
    <row r="4" spans="1:22" s="709" customFormat="1" ht="15.75" x14ac:dyDescent="0.25">
      <c r="A4" s="1" t="s">
        <v>180</v>
      </c>
      <c r="B4" s="10" t="s">
        <v>1062</v>
      </c>
      <c r="C4" s="10" t="s">
        <v>1063</v>
      </c>
      <c r="D4" s="711"/>
      <c r="E4" s="714"/>
      <c r="F4" s="713"/>
      <c r="G4" s="714"/>
      <c r="H4" s="711"/>
      <c r="I4" s="714"/>
      <c r="J4" s="711"/>
      <c r="K4" s="714"/>
      <c r="L4" s="711"/>
      <c r="M4" s="714"/>
      <c r="N4" s="711"/>
    </row>
    <row r="5" spans="1:22" s="709" customFormat="1" ht="15.75" x14ac:dyDescent="0.2">
      <c r="A5" s="1" t="s">
        <v>183</v>
      </c>
      <c r="B5" s="12" t="s">
        <v>1064</v>
      </c>
      <c r="C5" s="12" t="s">
        <v>27</v>
      </c>
      <c r="D5" s="13"/>
      <c r="E5" s="715"/>
      <c r="G5" s="715"/>
      <c r="I5" s="715"/>
      <c r="K5" s="715"/>
      <c r="M5" s="715"/>
    </row>
    <row r="6" spans="1:22" s="709" customFormat="1" ht="15.75" x14ac:dyDescent="0.25">
      <c r="A6" s="15" t="s">
        <v>186</v>
      </c>
      <c r="B6" s="16">
        <v>4</v>
      </c>
      <c r="C6" s="716"/>
      <c r="D6" s="18"/>
      <c r="E6" s="717"/>
      <c r="F6" s="713"/>
      <c r="G6" s="712"/>
      <c r="H6" s="711"/>
      <c r="I6" s="712"/>
      <c r="J6" s="711"/>
      <c r="K6" s="712"/>
      <c r="L6" s="711"/>
      <c r="M6" s="712"/>
      <c r="N6" s="711"/>
    </row>
    <row r="7" spans="1:22" s="721" customFormat="1" x14ac:dyDescent="0.2">
      <c r="A7" s="718"/>
      <c r="B7" s="719"/>
      <c r="C7" s="22"/>
      <c r="D7" s="23"/>
      <c r="E7" s="22"/>
      <c r="F7" s="23"/>
      <c r="G7" s="22"/>
      <c r="H7" s="23"/>
      <c r="I7" s="22"/>
      <c r="J7" s="23"/>
      <c r="K7" s="22" t="s">
        <v>187</v>
      </c>
      <c r="L7" s="23"/>
      <c r="M7" s="720" t="s">
        <v>187</v>
      </c>
      <c r="N7" s="711"/>
    </row>
    <row r="8" spans="1:22" x14ac:dyDescent="0.2">
      <c r="C8" s="27" t="s">
        <v>188</v>
      </c>
      <c r="D8" s="28" t="s">
        <v>189</v>
      </c>
      <c r="E8" s="27" t="s">
        <v>188</v>
      </c>
      <c r="F8" s="28" t="s">
        <v>189</v>
      </c>
      <c r="G8" s="27" t="s">
        <v>190</v>
      </c>
      <c r="H8" s="28" t="s">
        <v>189</v>
      </c>
      <c r="I8" s="27" t="s">
        <v>191</v>
      </c>
      <c r="J8" s="28" t="s">
        <v>189</v>
      </c>
      <c r="K8" s="27" t="s">
        <v>192</v>
      </c>
      <c r="L8" s="28" t="s">
        <v>189</v>
      </c>
      <c r="M8" s="720" t="s">
        <v>192</v>
      </c>
      <c r="N8" s="711" t="s">
        <v>189</v>
      </c>
      <c r="O8" s="724"/>
      <c r="P8" s="724"/>
    </row>
    <row r="9" spans="1:22" s="721" customFormat="1" ht="14.25" x14ac:dyDescent="0.2">
      <c r="A9" s="725"/>
      <c r="B9" s="726"/>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711" t="str">
        <f>"FY " &amp; FiscalYear + 1</f>
        <v>FY 2020</v>
      </c>
      <c r="N9" s="727" t="s">
        <v>193</v>
      </c>
    </row>
    <row r="10" spans="1:22" s="721" customFormat="1" x14ac:dyDescent="0.2">
      <c r="A10" s="728" t="s">
        <v>222</v>
      </c>
      <c r="B10" s="726"/>
      <c r="C10" s="1716"/>
      <c r="D10" s="727"/>
      <c r="E10" s="711"/>
      <c r="F10" s="727"/>
      <c r="M10" s="711"/>
      <c r="N10" s="727"/>
    </row>
    <row r="11" spans="1:22" s="273" customFormat="1" x14ac:dyDescent="0.2">
      <c r="A11" s="729" t="s">
        <v>1065</v>
      </c>
      <c r="B11" s="46"/>
      <c r="C11" s="730"/>
      <c r="E11" s="730"/>
      <c r="O11" s="731"/>
    </row>
    <row r="12" spans="1:22" s="273" customFormat="1" x14ac:dyDescent="0.2">
      <c r="A12" s="732" t="s">
        <v>1066</v>
      </c>
      <c r="B12" s="733"/>
      <c r="C12" s="730"/>
      <c r="E12" s="730"/>
      <c r="O12" s="731"/>
    </row>
    <row r="13" spans="1:22" s="273" customFormat="1" x14ac:dyDescent="0.2">
      <c r="A13" s="734" t="s">
        <v>1067</v>
      </c>
      <c r="B13" s="735"/>
      <c r="C13" s="736">
        <v>141974.8908635157</v>
      </c>
      <c r="E13" s="736">
        <v>142417.91666666666</v>
      </c>
      <c r="G13" s="736">
        <v>142226.1486918942</v>
      </c>
      <c r="I13" s="736">
        <v>141590.57788211099</v>
      </c>
      <c r="K13" s="736">
        <v>140543.97912071584</v>
      </c>
      <c r="M13" s="737"/>
      <c r="O13" s="731"/>
    </row>
    <row r="14" spans="1:22" s="273" customFormat="1" x14ac:dyDescent="0.2">
      <c r="A14" s="734" t="s">
        <v>1068</v>
      </c>
      <c r="B14" s="735"/>
      <c r="C14" s="740">
        <v>6578.3616198325126</v>
      </c>
      <c r="D14" s="739"/>
      <c r="E14" s="738">
        <v>7626.4112181402033</v>
      </c>
      <c r="G14" s="740">
        <v>6972.2552343672669</v>
      </c>
      <c r="I14" s="740">
        <v>7522.1625803525658</v>
      </c>
      <c r="K14" s="740">
        <v>7587.1999743938886</v>
      </c>
      <c r="M14" s="741"/>
      <c r="O14" s="731"/>
    </row>
    <row r="15" spans="1:22" s="273" customFormat="1" x14ac:dyDescent="0.2">
      <c r="A15" s="742" t="s">
        <v>1069</v>
      </c>
      <c r="B15" s="733"/>
      <c r="C15" s="744">
        <v>933962173.03646135</v>
      </c>
      <c r="D15" s="739"/>
      <c r="E15" s="744">
        <v>1086137597.3308232</v>
      </c>
      <c r="G15" s="744">
        <v>991637009.68095648</v>
      </c>
      <c r="I15" s="744">
        <v>1065067346.6753109</v>
      </c>
      <c r="K15" s="744">
        <v>1066335274.7859105</v>
      </c>
      <c r="M15" s="745"/>
      <c r="O15" s="731"/>
    </row>
    <row r="16" spans="1:22" s="273" customFormat="1" ht="15" x14ac:dyDescent="0.25">
      <c r="A16" s="742"/>
      <c r="B16" s="733"/>
      <c r="C16" s="746"/>
      <c r="E16" s="746"/>
      <c r="M16" s="747"/>
      <c r="O16" s="731"/>
      <c r="S16" s="748"/>
      <c r="T16" s="748"/>
      <c r="U16" s="748"/>
      <c r="V16" s="748"/>
    </row>
    <row r="17" spans="1:22" s="273" customFormat="1" ht="15" x14ac:dyDescent="0.25">
      <c r="A17" s="732" t="s">
        <v>1070</v>
      </c>
      <c r="B17" s="733"/>
      <c r="C17" s="730"/>
      <c r="E17" s="730"/>
      <c r="M17" s="749"/>
      <c r="O17" s="731"/>
      <c r="S17" s="748"/>
      <c r="T17" s="748"/>
      <c r="U17" s="748"/>
      <c r="V17" s="748"/>
    </row>
    <row r="18" spans="1:22" s="273" customFormat="1" ht="15" x14ac:dyDescent="0.25">
      <c r="A18" s="734" t="s">
        <v>1067</v>
      </c>
      <c r="B18" s="733"/>
      <c r="C18" s="736">
        <v>110287.22591661575</v>
      </c>
      <c r="D18" s="739"/>
      <c r="E18" s="736">
        <v>109206.16666666667</v>
      </c>
      <c r="G18" s="736">
        <v>108243.26148899546</v>
      </c>
      <c r="I18" s="736">
        <v>109396.814111204</v>
      </c>
      <c r="K18" s="736">
        <v>109198.73202832408</v>
      </c>
      <c r="M18" s="750"/>
      <c r="O18" s="731"/>
      <c r="S18" s="748"/>
      <c r="T18" s="748"/>
      <c r="U18" s="748"/>
      <c r="V18" s="748"/>
    </row>
    <row r="19" spans="1:22" s="273" customFormat="1" ht="15" x14ac:dyDescent="0.25">
      <c r="A19" s="734" t="s">
        <v>1068</v>
      </c>
      <c r="B19" s="735"/>
      <c r="C19" s="740">
        <v>19703.382907992429</v>
      </c>
      <c r="D19" s="739"/>
      <c r="E19" s="740">
        <v>19623.566092566598</v>
      </c>
      <c r="G19" s="740">
        <v>20501.262883619929</v>
      </c>
      <c r="I19" s="740">
        <v>19291.534250862318</v>
      </c>
      <c r="K19" s="740">
        <v>19425.594420064033</v>
      </c>
      <c r="M19" s="751"/>
      <c r="O19" s="731"/>
      <c r="S19" s="748"/>
      <c r="T19" s="748"/>
      <c r="U19" s="748"/>
      <c r="V19" s="748"/>
    </row>
    <row r="20" spans="1:22" s="273" customFormat="1" x14ac:dyDescent="0.2">
      <c r="A20" s="742" t="s">
        <v>1071</v>
      </c>
      <c r="B20" s="735"/>
      <c r="C20" s="744">
        <v>2173031442.0953465</v>
      </c>
      <c r="D20" s="739"/>
      <c r="E20" s="743">
        <v>2143014429.2991767</v>
      </c>
      <c r="G20" s="744">
        <v>2219123559.1663089</v>
      </c>
      <c r="I20" s="744">
        <v>2110432386.3615103</v>
      </c>
      <c r="K20" s="744">
        <v>2121250279.5674801</v>
      </c>
      <c r="M20" s="752"/>
      <c r="O20" s="731"/>
    </row>
    <row r="21" spans="1:22" s="273" customFormat="1" x14ac:dyDescent="0.2">
      <c r="A21" s="742"/>
      <c r="B21" s="735"/>
      <c r="C21" s="746"/>
      <c r="E21" s="746"/>
      <c r="M21" s="753"/>
      <c r="O21" s="731"/>
    </row>
    <row r="22" spans="1:22" s="273" customFormat="1" ht="14.25" x14ac:dyDescent="0.2">
      <c r="A22" s="732" t="s">
        <v>1072</v>
      </c>
      <c r="B22" s="735"/>
      <c r="C22" s="730"/>
      <c r="E22" s="730"/>
      <c r="M22" s="754"/>
      <c r="O22" s="731"/>
    </row>
    <row r="23" spans="1:22" x14ac:dyDescent="0.2">
      <c r="A23" s="734" t="s">
        <v>1067</v>
      </c>
      <c r="B23" s="722"/>
      <c r="C23" s="736">
        <v>27687.966553201884</v>
      </c>
      <c r="D23" s="755"/>
      <c r="E23" s="736">
        <v>25812.916666666668</v>
      </c>
      <c r="G23" s="736">
        <v>28184.988445738916</v>
      </c>
      <c r="I23" s="736">
        <v>25170.538801411902</v>
      </c>
      <c r="K23" s="736">
        <v>24925.384809411898</v>
      </c>
      <c r="M23" s="757"/>
    </row>
    <row r="24" spans="1:22" s="273" customFormat="1" x14ac:dyDescent="0.2">
      <c r="A24" s="734" t="s">
        <v>1068</v>
      </c>
      <c r="B24" s="759"/>
      <c r="C24" s="740">
        <v>62218.279054089588</v>
      </c>
      <c r="D24" s="739"/>
      <c r="E24" s="740">
        <v>67751.107460799656</v>
      </c>
      <c r="G24" s="740">
        <v>63662.913427697247</v>
      </c>
      <c r="I24" s="740">
        <v>70007.955760028621</v>
      </c>
      <c r="K24" s="740">
        <v>70967.630842080398</v>
      </c>
      <c r="M24" s="760"/>
      <c r="O24" s="731"/>
    </row>
    <row r="25" spans="1:22" s="273" customFormat="1" x14ac:dyDescent="0.2">
      <c r="A25" s="742" t="s">
        <v>1073</v>
      </c>
      <c r="B25" s="759"/>
      <c r="C25" s="744">
        <v>1722697629.4474101</v>
      </c>
      <c r="D25" s="739"/>
      <c r="E25" s="744">
        <v>1748853690.9599998</v>
      </c>
      <c r="G25" s="744">
        <v>1794338479.3817239</v>
      </c>
      <c r="I25" s="744">
        <v>1762165969.5576301</v>
      </c>
      <c r="K25" s="744">
        <v>1768874217.49189</v>
      </c>
      <c r="M25" s="761"/>
      <c r="O25" s="731"/>
    </row>
    <row r="26" spans="1:22" x14ac:dyDescent="0.2">
      <c r="A26" s="742"/>
      <c r="B26" s="722"/>
      <c r="C26" s="730"/>
      <c r="D26" s="756"/>
      <c r="E26" s="730"/>
      <c r="G26" s="762"/>
      <c r="I26" s="762"/>
      <c r="K26" s="762"/>
    </row>
    <row r="27" spans="1:22" ht="14.25" x14ac:dyDescent="0.2">
      <c r="A27" s="732" t="s">
        <v>1074</v>
      </c>
      <c r="B27" s="722"/>
      <c r="C27" s="730"/>
      <c r="D27" s="756"/>
      <c r="E27" s="730"/>
      <c r="G27" s="762"/>
      <c r="I27" s="762"/>
      <c r="K27" s="762"/>
    </row>
    <row r="28" spans="1:22" x14ac:dyDescent="0.2">
      <c r="A28" s="734" t="s">
        <v>1067</v>
      </c>
      <c r="B28" s="722"/>
      <c r="C28" s="736">
        <v>16540.416666666668</v>
      </c>
      <c r="D28" s="736"/>
      <c r="E28" s="736">
        <v>21091.25</v>
      </c>
      <c r="G28" s="736">
        <v>25100.943941523554</v>
      </c>
      <c r="I28" s="736">
        <v>25729.061198588061</v>
      </c>
      <c r="K28" s="736">
        <v>29802.185190588101</v>
      </c>
      <c r="M28" s="757"/>
    </row>
    <row r="29" spans="1:22" x14ac:dyDescent="0.2">
      <c r="A29" s="734" t="s">
        <v>1068</v>
      </c>
      <c r="B29" s="722"/>
      <c r="C29" s="740">
        <v>40109.817838847557</v>
      </c>
      <c r="D29" s="740"/>
      <c r="E29" s="740">
        <v>38538.749984472233</v>
      </c>
      <c r="G29" s="740">
        <v>37705.953017975451</v>
      </c>
      <c r="I29" s="740">
        <v>39028.594457498402</v>
      </c>
      <c r="K29" s="740">
        <v>42193.502006121846</v>
      </c>
      <c r="M29" s="763"/>
    </row>
    <row r="30" spans="1:22" x14ac:dyDescent="0.2">
      <c r="A30" s="742" t="s">
        <v>1075</v>
      </c>
      <c r="B30" s="722"/>
      <c r="C30" s="744">
        <v>663433099.47863817</v>
      </c>
      <c r="D30" s="764"/>
      <c r="E30" s="744">
        <v>812830410.61000001</v>
      </c>
      <c r="G30" s="744">
        <v>946455012.96592271</v>
      </c>
      <c r="I30" s="744">
        <v>1004169094.9418499</v>
      </c>
      <c r="K30" s="744">
        <v>1257447168.49035</v>
      </c>
      <c r="M30" s="765"/>
    </row>
    <row r="31" spans="1:22" x14ac:dyDescent="0.2">
      <c r="A31" s="742"/>
      <c r="B31" s="722"/>
      <c r="C31" s="746"/>
      <c r="D31" s="756"/>
      <c r="E31" s="746"/>
      <c r="G31" s="762"/>
      <c r="I31" s="762"/>
      <c r="K31" s="762"/>
      <c r="M31" s="766"/>
    </row>
    <row r="32" spans="1:22" s="273" customFormat="1" x14ac:dyDescent="0.2">
      <c r="A32" s="732" t="s">
        <v>1076</v>
      </c>
      <c r="B32" s="733"/>
      <c r="C32" s="730"/>
      <c r="D32" s="739"/>
      <c r="E32" s="730"/>
      <c r="G32" s="767"/>
      <c r="I32" s="767"/>
      <c r="K32" s="767"/>
      <c r="M32" s="768"/>
      <c r="O32" s="731"/>
    </row>
    <row r="33" spans="1:17" x14ac:dyDescent="0.2">
      <c r="A33" s="734" t="s">
        <v>1067</v>
      </c>
      <c r="B33" s="722"/>
      <c r="C33" s="736">
        <v>104124.66666666667</v>
      </c>
      <c r="D33" s="755"/>
      <c r="E33" s="736">
        <v>105799.91666666667</v>
      </c>
      <c r="G33" s="736">
        <v>110820.22727272718</v>
      </c>
      <c r="I33" s="736">
        <v>103263.87035417806</v>
      </c>
      <c r="K33" s="736">
        <v>102750.48777789214</v>
      </c>
      <c r="M33" s="757"/>
    </row>
    <row r="34" spans="1:17" x14ac:dyDescent="0.2">
      <c r="A34" s="734" t="s">
        <v>1068</v>
      </c>
      <c r="B34" s="722"/>
      <c r="C34" s="740">
        <v>6432.8002969647714</v>
      </c>
      <c r="D34" s="755"/>
      <c r="E34" s="740">
        <v>7893.4625023823555</v>
      </c>
      <c r="G34" s="740">
        <v>6441.0459420257775</v>
      </c>
      <c r="I34" s="740">
        <v>8173.4621784180572</v>
      </c>
      <c r="K34" s="740">
        <v>8036.9024832010209</v>
      </c>
      <c r="M34" s="763"/>
    </row>
    <row r="35" spans="1:17" s="273" customFormat="1" ht="12" customHeight="1" x14ac:dyDescent="0.2">
      <c r="A35" s="742" t="s">
        <v>1077</v>
      </c>
      <c r="B35" s="735"/>
      <c r="C35" s="744">
        <v>669813186.65469122</v>
      </c>
      <c r="D35" s="739"/>
      <c r="E35" s="744">
        <v>835127674.96351135</v>
      </c>
      <c r="G35" s="744">
        <v>713798175.16937375</v>
      </c>
      <c r="I35" s="744">
        <v>844023338.73694003</v>
      </c>
      <c r="K35" s="744">
        <v>825795650.37225747</v>
      </c>
      <c r="M35" s="769"/>
      <c r="O35" s="731"/>
    </row>
    <row r="36" spans="1:17" s="273" customFormat="1" x14ac:dyDescent="0.2">
      <c r="A36" s="770"/>
      <c r="B36" s="735"/>
      <c r="C36" s="744"/>
      <c r="E36" s="744"/>
      <c r="G36" s="767"/>
      <c r="I36" s="767"/>
      <c r="K36" s="767"/>
      <c r="M36" s="768"/>
      <c r="O36" s="731"/>
    </row>
    <row r="37" spans="1:17" s="404" customFormat="1" x14ac:dyDescent="0.2">
      <c r="A37" s="732" t="s">
        <v>1078</v>
      </c>
      <c r="C37" s="730"/>
      <c r="E37" s="730"/>
      <c r="G37" s="771"/>
      <c r="I37" s="771"/>
      <c r="K37" s="771"/>
      <c r="M37" s="768"/>
      <c r="N37" s="772"/>
      <c r="O37" s="772"/>
      <c r="P37" s="772"/>
      <c r="Q37" s="772"/>
    </row>
    <row r="38" spans="1:17" s="273" customFormat="1" x14ac:dyDescent="0.2">
      <c r="A38" s="734" t="s">
        <v>1067</v>
      </c>
      <c r="B38" s="733"/>
      <c r="C38" s="736">
        <v>620573.41666666663</v>
      </c>
      <c r="D38" s="739"/>
      <c r="E38" s="736">
        <v>617364.83333333337</v>
      </c>
      <c r="G38" s="736">
        <v>622079.39102564123</v>
      </c>
      <c r="I38" s="736">
        <v>610619.70245207765</v>
      </c>
      <c r="K38" s="736">
        <v>609917.41257984191</v>
      </c>
      <c r="M38" s="773"/>
      <c r="O38" s="731"/>
    </row>
    <row r="39" spans="1:17" s="273" customFormat="1" x14ac:dyDescent="0.2">
      <c r="A39" s="734" t="s">
        <v>1068</v>
      </c>
      <c r="B39" s="733"/>
      <c r="C39" s="740">
        <v>2544.429738207094</v>
      </c>
      <c r="D39" s="739"/>
      <c r="E39" s="740">
        <v>2455.1271571507095</v>
      </c>
      <c r="G39" s="740">
        <v>2677.0461279071906</v>
      </c>
      <c r="I39" s="740">
        <v>2536.1342458264444</v>
      </c>
      <c r="K39" s="740">
        <v>2457.562417416008</v>
      </c>
      <c r="M39" s="774"/>
      <c r="O39" s="731"/>
    </row>
    <row r="40" spans="1:17" s="273" customFormat="1" x14ac:dyDescent="0.2">
      <c r="A40" s="742" t="s">
        <v>1079</v>
      </c>
      <c r="B40" s="733"/>
      <c r="C40" s="744">
        <v>1579005456.1074486</v>
      </c>
      <c r="D40" s="739"/>
      <c r="E40" s="744">
        <v>1515709168.1864884</v>
      </c>
      <c r="G40" s="744">
        <v>1665335224.9960561</v>
      </c>
      <c r="I40" s="744">
        <v>1548613538.5650678</v>
      </c>
      <c r="K40" s="744">
        <v>1498910110.8838329</v>
      </c>
      <c r="M40" s="775"/>
      <c r="O40" s="731"/>
    </row>
    <row r="41" spans="1:17" s="273" customFormat="1" x14ac:dyDescent="0.2">
      <c r="A41" s="770"/>
      <c r="B41" s="733"/>
      <c r="C41" s="744"/>
      <c r="E41" s="744"/>
      <c r="G41" s="767"/>
      <c r="I41" s="767"/>
      <c r="K41" s="767"/>
      <c r="M41" s="768"/>
      <c r="O41" s="731"/>
    </row>
    <row r="42" spans="1:17" s="273" customFormat="1" ht="14.25" x14ac:dyDescent="0.2">
      <c r="A42" s="729" t="s">
        <v>1080</v>
      </c>
      <c r="B42" s="735"/>
      <c r="C42" s="746"/>
      <c r="E42" s="746"/>
      <c r="G42" s="767"/>
      <c r="I42" s="767"/>
      <c r="K42" s="767"/>
      <c r="M42" s="776"/>
      <c r="O42" s="731"/>
    </row>
    <row r="43" spans="1:17" s="404" customFormat="1" x14ac:dyDescent="0.2">
      <c r="A43" s="732" t="s">
        <v>1081</v>
      </c>
      <c r="B43" s="777"/>
      <c r="C43" s="730"/>
      <c r="E43" s="730"/>
      <c r="G43" s="771"/>
      <c r="I43" s="771"/>
      <c r="K43" s="771"/>
      <c r="M43" s="768"/>
    </row>
    <row r="44" spans="1:17" s="404" customFormat="1" x14ac:dyDescent="0.2">
      <c r="A44" s="734" t="s">
        <v>1067</v>
      </c>
      <c r="B44" s="777"/>
      <c r="C44" s="736">
        <v>333536.5</v>
      </c>
      <c r="D44" s="778"/>
      <c r="E44" s="736">
        <v>352172.16666666669</v>
      </c>
      <c r="G44" s="736">
        <v>348709.44431678503</v>
      </c>
      <c r="I44" s="736">
        <v>349053.07745203137</v>
      </c>
      <c r="K44" s="736">
        <v>360279.828313298</v>
      </c>
      <c r="M44" s="773"/>
    </row>
    <row r="45" spans="1:17" s="404" customFormat="1" x14ac:dyDescent="0.2">
      <c r="A45" s="734" t="s">
        <v>1068</v>
      </c>
      <c r="B45" s="779"/>
      <c r="C45" s="740">
        <v>7079.6589515774067</v>
      </c>
      <c r="D45" s="778"/>
      <c r="E45" s="740">
        <v>7203.1184426078607</v>
      </c>
      <c r="G45" s="740">
        <v>7039.0225325707024</v>
      </c>
      <c r="I45" s="740">
        <v>7632.1062581750439</v>
      </c>
      <c r="K45" s="740">
        <v>7563.7803695965877</v>
      </c>
      <c r="M45" s="751"/>
    </row>
    <row r="46" spans="1:17" s="404" customFormat="1" x14ac:dyDescent="0.2">
      <c r="A46" s="742" t="s">
        <v>1082</v>
      </c>
      <c r="B46" s="779"/>
      <c r="C46" s="744">
        <v>2361324667.9027977</v>
      </c>
      <c r="D46" s="778"/>
      <c r="E46" s="744">
        <v>2536737828.689836</v>
      </c>
      <c r="G46" s="744">
        <v>2454573635.8660583</v>
      </c>
      <c r="I46" s="744">
        <v>2664010176.8569069</v>
      </c>
      <c r="K46" s="744">
        <v>2725077492.9577522</v>
      </c>
      <c r="M46" s="769"/>
    </row>
    <row r="47" spans="1:17" s="404" customFormat="1" x14ac:dyDescent="0.2">
      <c r="A47" s="742"/>
      <c r="B47" s="780"/>
      <c r="C47" s="730"/>
      <c r="E47" s="730"/>
      <c r="G47" s="771"/>
      <c r="I47" s="771"/>
      <c r="K47" s="771"/>
      <c r="M47" s="781"/>
    </row>
    <row r="48" spans="1:17" s="404" customFormat="1" x14ac:dyDescent="0.2">
      <c r="A48" s="732" t="s">
        <v>1083</v>
      </c>
      <c r="B48" s="780"/>
      <c r="C48" s="730"/>
      <c r="D48" s="778"/>
      <c r="E48" s="730"/>
      <c r="G48" s="771"/>
      <c r="I48" s="771"/>
      <c r="K48" s="771"/>
      <c r="M48" s="781"/>
    </row>
    <row r="49" spans="1:17" s="404" customFormat="1" x14ac:dyDescent="0.2">
      <c r="A49" s="734" t="s">
        <v>1067</v>
      </c>
      <c r="B49" s="780"/>
      <c r="C49" s="736">
        <v>203003.25</v>
      </c>
      <c r="D49" s="778"/>
      <c r="E49" s="736">
        <v>197766.75</v>
      </c>
      <c r="G49" s="736">
        <v>198978.51207410684</v>
      </c>
      <c r="I49" s="736">
        <v>195352.77374710212</v>
      </c>
      <c r="K49" s="736">
        <v>204366.19276558602</v>
      </c>
      <c r="M49" s="737"/>
    </row>
    <row r="50" spans="1:17" s="404" customFormat="1" x14ac:dyDescent="0.2">
      <c r="A50" s="734" t="s">
        <v>1068</v>
      </c>
      <c r="B50" s="779"/>
      <c r="C50" s="740">
        <v>4328.3609109568561</v>
      </c>
      <c r="D50" s="778"/>
      <c r="E50" s="740">
        <v>4495.3350486882364</v>
      </c>
      <c r="G50" s="740">
        <v>4655.9517199474631</v>
      </c>
      <c r="I50" s="740">
        <v>4740.4517286461341</v>
      </c>
      <c r="K50" s="740">
        <v>4643.3629450307271</v>
      </c>
      <c r="M50" s="774"/>
    </row>
    <row r="51" spans="1:17" s="404" customFormat="1" x14ac:dyDescent="0.2">
      <c r="A51" s="742" t="s">
        <v>1084</v>
      </c>
      <c r="B51" s="779"/>
      <c r="C51" s="744">
        <v>878671332.09720242</v>
      </c>
      <c r="D51" s="778"/>
      <c r="E51" s="744">
        <v>889027802.74016428</v>
      </c>
      <c r="G51" s="744">
        <v>926434345.52402472</v>
      </c>
      <c r="I51" s="744">
        <v>926060394.00526738</v>
      </c>
      <c r="K51" s="744">
        <v>948946406.70472872</v>
      </c>
      <c r="M51" s="775"/>
    </row>
    <row r="52" spans="1:17" s="404" customFormat="1" x14ac:dyDescent="0.2">
      <c r="A52" s="742"/>
      <c r="B52" s="733"/>
      <c r="C52" s="1717"/>
      <c r="E52" s="782"/>
      <c r="G52" s="771"/>
      <c r="I52" s="771"/>
      <c r="K52" s="771"/>
      <c r="M52" s="781"/>
    </row>
    <row r="53" spans="1:17" s="404" customFormat="1" x14ac:dyDescent="0.2">
      <c r="A53" s="732" t="s">
        <v>1085</v>
      </c>
      <c r="B53" s="783"/>
      <c r="C53" s="744">
        <v>10981938986.82</v>
      </c>
      <c r="D53" s="764"/>
      <c r="E53" s="744">
        <v>11567438602.780001</v>
      </c>
      <c r="G53" s="744">
        <v>11711695442.750425</v>
      </c>
      <c r="I53" s="744">
        <v>11924542245.629313</v>
      </c>
      <c r="K53" s="744">
        <v>12212636601.464159</v>
      </c>
      <c r="M53" s="784"/>
    </row>
    <row r="54" spans="1:17" s="786" customFormat="1" x14ac:dyDescent="0.2">
      <c r="A54" s="734" t="s">
        <v>1086</v>
      </c>
      <c r="B54" s="47"/>
      <c r="C54" s="744">
        <v>3715850856.9199991</v>
      </c>
      <c r="D54" s="785"/>
      <c r="E54" s="744">
        <v>3776462488.9699998</v>
      </c>
      <c r="G54" s="744">
        <v>3843224401.6172194</v>
      </c>
      <c r="I54" s="744">
        <v>3851604991</v>
      </c>
      <c r="K54" s="744">
        <v>3955348418.3126411</v>
      </c>
      <c r="M54" s="787"/>
    </row>
    <row r="55" spans="1:17" s="786" customFormat="1" x14ac:dyDescent="0.2">
      <c r="A55" s="734" t="s">
        <v>1087</v>
      </c>
      <c r="B55" s="47"/>
      <c r="C55" s="744">
        <v>171772000</v>
      </c>
      <c r="D55" s="785"/>
      <c r="E55" s="744">
        <v>411000000</v>
      </c>
      <c r="G55" s="744">
        <v>488000000</v>
      </c>
      <c r="I55" s="744">
        <v>518630000</v>
      </c>
      <c r="K55" s="744">
        <v>508636000</v>
      </c>
      <c r="M55" s="787"/>
    </row>
    <row r="56" spans="1:17" s="786" customFormat="1" x14ac:dyDescent="0.2">
      <c r="A56" s="734" t="s">
        <v>1088</v>
      </c>
      <c r="B56" s="788"/>
      <c r="C56" s="744">
        <v>7094316129.9000006</v>
      </c>
      <c r="D56" s="785"/>
      <c r="E56" s="744">
        <v>7379976113.8100004</v>
      </c>
      <c r="F56" s="789"/>
      <c r="G56" s="744">
        <v>7380471041.1332054</v>
      </c>
      <c r="I56" s="744">
        <v>7554307254.937726</v>
      </c>
      <c r="K56" s="744">
        <v>7748652183.1515188</v>
      </c>
      <c r="M56" s="787"/>
      <c r="N56" s="789"/>
    </row>
    <row r="57" spans="1:17" x14ac:dyDescent="0.2">
      <c r="A57" s="742"/>
      <c r="B57" s="790"/>
      <c r="C57" s="744"/>
      <c r="D57" s="790"/>
      <c r="E57" s="744"/>
      <c r="F57" s="790"/>
      <c r="G57" s="762"/>
      <c r="I57" s="762"/>
      <c r="K57" s="762"/>
      <c r="M57" s="789"/>
      <c r="N57" s="823"/>
      <c r="O57" s="789"/>
      <c r="P57" s="789"/>
      <c r="Q57" s="791"/>
    </row>
    <row r="58" spans="1:17" x14ac:dyDescent="0.2">
      <c r="A58" s="792" t="s">
        <v>1089</v>
      </c>
      <c r="B58" s="790"/>
      <c r="C58" s="730"/>
      <c r="D58" s="790"/>
      <c r="E58" s="730"/>
      <c r="F58" s="790"/>
      <c r="G58" s="762"/>
      <c r="I58" s="762"/>
      <c r="K58" s="762"/>
      <c r="M58" s="793"/>
      <c r="N58" s="793"/>
      <c r="O58" s="794"/>
      <c r="P58" s="789"/>
      <c r="Q58" s="791"/>
    </row>
    <row r="59" spans="1:17" x14ac:dyDescent="0.2">
      <c r="A59" s="795" t="s">
        <v>1090</v>
      </c>
      <c r="B59" s="790"/>
      <c r="C59" s="730"/>
      <c r="D59" s="796"/>
      <c r="E59" s="730"/>
      <c r="F59" s="790"/>
      <c r="G59" s="762"/>
      <c r="I59" s="762"/>
      <c r="K59" s="762"/>
      <c r="M59" s="793"/>
      <c r="N59" s="793"/>
      <c r="O59" s="794"/>
      <c r="P59" s="789"/>
      <c r="Q59" s="791"/>
    </row>
    <row r="60" spans="1:17" x14ac:dyDescent="0.2">
      <c r="A60" s="797" t="s">
        <v>1067</v>
      </c>
      <c r="B60" s="790"/>
      <c r="C60" s="736">
        <v>86101.166666666672</v>
      </c>
      <c r="D60" s="796"/>
      <c r="E60" s="736">
        <v>88325.333333333328</v>
      </c>
      <c r="F60" s="790"/>
      <c r="G60" s="736">
        <v>91276.658508158464</v>
      </c>
      <c r="I60" s="736">
        <v>89745.274574839525</v>
      </c>
      <c r="K60" s="736">
        <v>91737.033248804233</v>
      </c>
      <c r="M60" s="798"/>
      <c r="N60" s="793"/>
      <c r="O60" s="794"/>
      <c r="P60" s="789"/>
    </row>
    <row r="61" spans="1:17" x14ac:dyDescent="0.2">
      <c r="A61" s="797" t="s">
        <v>1068</v>
      </c>
      <c r="B61" s="790"/>
      <c r="C61" s="740">
        <v>2274.673010625098</v>
      </c>
      <c r="D61" s="796"/>
      <c r="E61" s="740">
        <v>2254.8910089970414</v>
      </c>
      <c r="F61" s="790"/>
      <c r="G61" s="740">
        <v>2194.6243279209061</v>
      </c>
      <c r="I61" s="740">
        <v>2267.3635926527791</v>
      </c>
      <c r="K61" s="740">
        <v>2307.2579579325597</v>
      </c>
      <c r="M61" s="799"/>
      <c r="N61" s="793"/>
      <c r="O61" s="794"/>
      <c r="P61" s="789"/>
    </row>
    <row r="62" spans="1:17" x14ac:dyDescent="0.2">
      <c r="A62" s="800" t="s">
        <v>1091</v>
      </c>
      <c r="B62" s="722"/>
      <c r="C62" s="744">
        <v>195852000</v>
      </c>
      <c r="D62" s="755"/>
      <c r="E62" s="744">
        <v>199164000</v>
      </c>
      <c r="G62" s="744">
        <v>200317975.33333331</v>
      </c>
      <c r="I62" s="744">
        <v>203485168.18361825</v>
      </c>
      <c r="K62" s="744">
        <v>211661000.0004274</v>
      </c>
      <c r="M62" s="765"/>
    </row>
    <row r="63" spans="1:17" x14ac:dyDescent="0.2">
      <c r="A63" s="800"/>
      <c r="B63" s="722"/>
      <c r="C63" s="746"/>
      <c r="D63" s="756"/>
      <c r="E63" s="746"/>
      <c r="G63" s="762"/>
      <c r="I63" s="762"/>
      <c r="K63" s="762"/>
    </row>
    <row r="64" spans="1:17" x14ac:dyDescent="0.2">
      <c r="A64" s="795" t="s">
        <v>1092</v>
      </c>
      <c r="B64" s="722"/>
      <c r="C64" s="730"/>
      <c r="D64" s="755"/>
      <c r="E64" s="730"/>
      <c r="G64" s="762"/>
      <c r="I64" s="762"/>
      <c r="K64" s="762"/>
    </row>
    <row r="65" spans="1:13" x14ac:dyDescent="0.2">
      <c r="A65" s="734" t="s">
        <v>1067</v>
      </c>
      <c r="B65" s="722"/>
      <c r="C65" s="736">
        <v>97156.916666666672</v>
      </c>
      <c r="D65" s="755"/>
      <c r="E65" s="736">
        <v>111007.66666666666</v>
      </c>
      <c r="G65" s="736">
        <v>128887.75699300691</v>
      </c>
      <c r="I65" s="736">
        <v>112489.5174758241</v>
      </c>
      <c r="K65" s="736">
        <v>112994.78267724633</v>
      </c>
      <c r="M65" s="757"/>
    </row>
    <row r="66" spans="1:13" x14ac:dyDescent="0.2">
      <c r="A66" s="734" t="s">
        <v>1068</v>
      </c>
      <c r="B66" s="722"/>
      <c r="C66" s="740">
        <v>2048.7750062399059</v>
      </c>
      <c r="D66" s="755"/>
      <c r="E66" s="740">
        <v>2138.5534272407613</v>
      </c>
      <c r="G66" s="740">
        <v>2152.4468587169135</v>
      </c>
      <c r="I66" s="740">
        <v>2196.7034115326828</v>
      </c>
      <c r="K66" s="740">
        <v>2300.805345496055</v>
      </c>
      <c r="M66" s="763"/>
    </row>
    <row r="67" spans="1:13" x14ac:dyDescent="0.2">
      <c r="A67" s="742" t="s">
        <v>1093</v>
      </c>
      <c r="B67" s="722"/>
      <c r="C67" s="744">
        <v>199052662.55000001</v>
      </c>
      <c r="D67" s="755"/>
      <c r="E67" s="744">
        <v>237395826</v>
      </c>
      <c r="G67" s="744">
        <v>277424047.66666663</v>
      </c>
      <c r="I67" s="744">
        <v>247106106.80080813</v>
      </c>
      <c r="K67" s="744">
        <v>259978999.9969734</v>
      </c>
      <c r="M67" s="765"/>
    </row>
    <row r="68" spans="1:13" x14ac:dyDescent="0.2">
      <c r="A68" s="742"/>
      <c r="B68" s="722"/>
      <c r="C68" s="746"/>
      <c r="D68" s="756"/>
      <c r="E68" s="746"/>
      <c r="G68" s="762"/>
      <c r="I68" s="762"/>
      <c r="K68" s="762"/>
    </row>
    <row r="69" spans="1:13" x14ac:dyDescent="0.2">
      <c r="A69" s="795" t="s">
        <v>1094</v>
      </c>
      <c r="B69" s="722"/>
      <c r="C69" s="744">
        <v>394904662.55000001</v>
      </c>
      <c r="D69" s="755"/>
      <c r="E69" s="744">
        <v>436559826</v>
      </c>
      <c r="G69" s="744">
        <v>477742022.99999994</v>
      </c>
      <c r="I69" s="744">
        <v>450591274.98442638</v>
      </c>
      <c r="K69" s="744">
        <v>471639999.99740076</v>
      </c>
      <c r="M69" s="765"/>
    </row>
    <row r="70" spans="1:13" x14ac:dyDescent="0.2">
      <c r="A70" s="797" t="s">
        <v>1095</v>
      </c>
      <c r="B70" s="722"/>
      <c r="C70" s="744">
        <v>21027583.650000002</v>
      </c>
      <c r="D70" s="755"/>
      <c r="E70" s="744">
        <v>23363826</v>
      </c>
      <c r="G70" s="744">
        <v>31054900.308035199</v>
      </c>
      <c r="I70" s="744">
        <v>24222359.360241938</v>
      </c>
      <c r="K70" s="744">
        <v>24625000.001953863</v>
      </c>
      <c r="M70" s="765"/>
    </row>
    <row r="71" spans="1:13" x14ac:dyDescent="0.2">
      <c r="A71" s="797" t="s">
        <v>1087</v>
      </c>
      <c r="B71" s="722"/>
      <c r="C71" s="744">
        <v>65506078.899999999</v>
      </c>
      <c r="D71" s="755"/>
      <c r="E71" s="744">
        <v>12773000</v>
      </c>
      <c r="G71" s="744">
        <v>25740703</v>
      </c>
      <c r="I71" s="744">
        <v>5107854.6006879099</v>
      </c>
      <c r="K71" s="744">
        <v>19207000</v>
      </c>
      <c r="M71" s="765"/>
    </row>
    <row r="72" spans="1:13" x14ac:dyDescent="0.2">
      <c r="A72" s="797" t="s">
        <v>1088</v>
      </c>
      <c r="B72" s="722"/>
      <c r="C72" s="744">
        <v>308371000</v>
      </c>
      <c r="D72" s="755"/>
      <c r="E72" s="744">
        <v>400423000</v>
      </c>
      <c r="G72" s="744">
        <v>420946419.69196475</v>
      </c>
      <c r="I72" s="744">
        <v>421261061.02349651</v>
      </c>
      <c r="K72" s="744">
        <v>427808000</v>
      </c>
      <c r="M72" s="765"/>
    </row>
    <row r="73" spans="1:13" x14ac:dyDescent="0.2">
      <c r="A73" s="742"/>
      <c r="B73" s="722"/>
      <c r="C73" s="744"/>
      <c r="D73" s="756"/>
      <c r="E73" s="744"/>
    </row>
    <row r="74" spans="1:13" x14ac:dyDescent="0.2">
      <c r="A74" s="795" t="s">
        <v>1096</v>
      </c>
      <c r="B74" s="722"/>
      <c r="C74" s="744"/>
      <c r="D74" s="756"/>
      <c r="E74" s="744"/>
    </row>
    <row r="75" spans="1:13" x14ac:dyDescent="0.2">
      <c r="A75" s="734" t="s">
        <v>1097</v>
      </c>
      <c r="B75" s="722"/>
      <c r="C75" s="1723">
        <v>-860000000</v>
      </c>
      <c r="D75" s="755"/>
      <c r="E75" s="1723">
        <v>-841780000.02999997</v>
      </c>
      <c r="G75" s="765">
        <v>-802251368</v>
      </c>
      <c r="I75" s="1723">
        <v>-860834485</v>
      </c>
      <c r="K75" s="1723">
        <v>-860834485</v>
      </c>
      <c r="M75" s="765"/>
    </row>
    <row r="76" spans="1:13" x14ac:dyDescent="0.2">
      <c r="A76" s="734" t="s">
        <v>1098</v>
      </c>
      <c r="B76" s="722"/>
      <c r="C76" s="1723">
        <v>-116459435.81999999</v>
      </c>
      <c r="D76" s="755"/>
      <c r="E76" s="1723">
        <v>-108345384.25999999</v>
      </c>
      <c r="G76" s="765">
        <v>-96773866.071161076</v>
      </c>
      <c r="I76" s="1723">
        <v>-119789186</v>
      </c>
      <c r="K76" s="1723">
        <v>-119789186</v>
      </c>
      <c r="M76" s="765"/>
    </row>
    <row r="77" spans="1:13" ht="14.25" x14ac:dyDescent="0.2">
      <c r="A77" s="734" t="s">
        <v>1099</v>
      </c>
      <c r="B77" s="722"/>
      <c r="C77" s="1723">
        <v>0</v>
      </c>
      <c r="D77" s="755"/>
      <c r="E77" s="1723">
        <v>0</v>
      </c>
      <c r="G77" s="765">
        <v>0</v>
      </c>
      <c r="I77" s="1723">
        <v>-46659673</v>
      </c>
      <c r="K77" s="1723">
        <v>0</v>
      </c>
      <c r="M77" s="765"/>
    </row>
    <row r="78" spans="1:13" x14ac:dyDescent="0.2">
      <c r="A78" s="734" t="s">
        <v>1100</v>
      </c>
      <c r="B78" s="722"/>
      <c r="C78" s="1723">
        <v>-133081592.87</v>
      </c>
      <c r="D78" s="755"/>
      <c r="E78" s="1723">
        <v>-130350218.48999999</v>
      </c>
      <c r="G78" s="765">
        <v>-127176000</v>
      </c>
      <c r="I78" s="1723">
        <v>-130000000</v>
      </c>
      <c r="K78" s="1723">
        <v>-130000000</v>
      </c>
      <c r="M78" s="765"/>
    </row>
    <row r="79" spans="1:13" x14ac:dyDescent="0.2">
      <c r="A79" s="742"/>
      <c r="B79" s="722"/>
      <c r="C79" s="744"/>
      <c r="D79" s="756"/>
      <c r="E79" s="744"/>
      <c r="K79" s="1723"/>
    </row>
    <row r="80" spans="1:13" x14ac:dyDescent="0.2">
      <c r="A80" s="795" t="s">
        <v>1101</v>
      </c>
      <c r="B80" s="722"/>
      <c r="C80" s="744">
        <v>10267302620.68</v>
      </c>
      <c r="D80" s="755"/>
      <c r="E80" s="744">
        <v>10923522826</v>
      </c>
      <c r="G80" s="765">
        <v>11163236231.679264</v>
      </c>
      <c r="I80" s="765">
        <v>11217850176.613739</v>
      </c>
      <c r="K80" s="765">
        <v>11573652930.461559</v>
      </c>
      <c r="M80" s="765"/>
    </row>
    <row r="81" spans="1:18" x14ac:dyDescent="0.2">
      <c r="A81" s="734" t="s">
        <v>1095</v>
      </c>
      <c r="B81" s="722"/>
      <c r="C81" s="744">
        <v>21027583.650000002</v>
      </c>
      <c r="D81" s="755"/>
      <c r="E81" s="744">
        <v>23363826</v>
      </c>
      <c r="G81" s="765">
        <v>31054900.308035199</v>
      </c>
      <c r="I81" s="765">
        <v>24222359.360241938</v>
      </c>
      <c r="K81" s="765">
        <v>24625000.001953863</v>
      </c>
      <c r="M81" s="765"/>
      <c r="O81" s="765"/>
      <c r="Q81" s="765"/>
    </row>
    <row r="82" spans="1:18" x14ac:dyDescent="0.2">
      <c r="A82" s="734" t="s">
        <v>1086</v>
      </c>
      <c r="B82" s="722"/>
      <c r="C82" s="744">
        <v>3278134958.1299992</v>
      </c>
      <c r="D82" s="755"/>
      <c r="E82" s="744">
        <v>3343583999.9999995</v>
      </c>
      <c r="G82" s="765">
        <v>3417779163.6172194</v>
      </c>
      <c r="I82" s="765">
        <v>3353506899</v>
      </c>
      <c r="K82" s="765">
        <v>3503909999.3126411</v>
      </c>
      <c r="M82" s="765"/>
      <c r="O82" s="765"/>
      <c r="Q82" s="765"/>
    </row>
    <row r="83" spans="1:18" ht="12" customHeight="1" x14ac:dyDescent="0.2">
      <c r="A83" s="734" t="s">
        <v>1087</v>
      </c>
      <c r="B83" s="722"/>
      <c r="C83" s="744">
        <v>237278078.90000001</v>
      </c>
      <c r="D83" s="755"/>
      <c r="E83" s="744">
        <v>423773000</v>
      </c>
      <c r="G83" s="765">
        <v>513740703</v>
      </c>
      <c r="I83" s="765">
        <v>523737855</v>
      </c>
      <c r="K83" s="765">
        <v>527843000</v>
      </c>
      <c r="M83" s="765"/>
      <c r="O83" s="765"/>
      <c r="P83" s="765"/>
      <c r="Q83" s="765"/>
      <c r="R83" s="765"/>
    </row>
    <row r="84" spans="1:18" x14ac:dyDescent="0.2">
      <c r="A84" s="734" t="s">
        <v>1088</v>
      </c>
      <c r="B84" s="722"/>
      <c r="C84" s="744">
        <v>6730862000.000001</v>
      </c>
      <c r="D84" s="755"/>
      <c r="E84" s="744">
        <v>7132802000</v>
      </c>
      <c r="G84" s="765">
        <v>7200661464.7540083</v>
      </c>
      <c r="I84" s="765">
        <v>7316383063.9612226</v>
      </c>
      <c r="K84" s="765">
        <v>7517274931</v>
      </c>
      <c r="M84" s="765"/>
    </row>
    <row r="85" spans="1:18" x14ac:dyDescent="0.2">
      <c r="A85" s="734"/>
      <c r="B85" s="722"/>
      <c r="C85" s="730"/>
      <c r="D85" s="756"/>
      <c r="E85" s="730"/>
    </row>
    <row r="86" spans="1:18" x14ac:dyDescent="0.2">
      <c r="A86" s="792" t="s">
        <v>1102</v>
      </c>
      <c r="B86" s="722"/>
      <c r="C86" s="730"/>
      <c r="D86" s="756"/>
      <c r="E86" s="730"/>
    </row>
    <row r="87" spans="1:18" x14ac:dyDescent="0.2">
      <c r="A87" s="732" t="s">
        <v>1103</v>
      </c>
      <c r="B87" s="722"/>
      <c r="C87" s="801">
        <v>360226000</v>
      </c>
      <c r="D87" s="755"/>
      <c r="E87" s="801">
        <v>404762000</v>
      </c>
      <c r="G87" s="765">
        <v>431979964.53737384</v>
      </c>
      <c r="I87" s="765">
        <v>427651228.76128781</v>
      </c>
      <c r="K87" s="765">
        <v>442600904.48486364</v>
      </c>
      <c r="M87" s="765"/>
    </row>
    <row r="88" spans="1:18" x14ac:dyDescent="0.2">
      <c r="A88" s="732" t="s">
        <v>1104</v>
      </c>
      <c r="B88" s="722"/>
      <c r="C88" s="801">
        <v>375956000</v>
      </c>
      <c r="D88" s="755"/>
      <c r="E88" s="801">
        <v>426794000</v>
      </c>
      <c r="G88" s="765">
        <v>475428213.3289746</v>
      </c>
      <c r="I88" s="765">
        <v>460574692.61299694</v>
      </c>
      <c r="K88" s="765">
        <v>482001000</v>
      </c>
      <c r="M88" s="765"/>
    </row>
    <row r="89" spans="1:18" ht="14.25" x14ac:dyDescent="0.2">
      <c r="A89" s="732" t="s">
        <v>1105</v>
      </c>
      <c r="B89" s="722"/>
      <c r="C89" s="801">
        <v>161799000</v>
      </c>
      <c r="D89" s="755"/>
      <c r="E89" s="801">
        <v>180230000</v>
      </c>
      <c r="G89" s="765">
        <v>0</v>
      </c>
      <c r="I89" s="765">
        <v>0</v>
      </c>
      <c r="K89" s="765">
        <v>258672000</v>
      </c>
      <c r="M89" s="765"/>
    </row>
    <row r="90" spans="1:18" x14ac:dyDescent="0.2">
      <c r="A90" s="732" t="s">
        <v>1106</v>
      </c>
      <c r="B90" s="722"/>
      <c r="C90" s="801">
        <v>55872000</v>
      </c>
      <c r="D90" s="755"/>
      <c r="E90" s="801">
        <v>31803000</v>
      </c>
      <c r="G90" s="765">
        <v>65628921.019999996</v>
      </c>
      <c r="I90" s="765">
        <v>99698172.657599986</v>
      </c>
      <c r="K90" s="765">
        <v>91578436.52759999</v>
      </c>
      <c r="M90" s="765"/>
    </row>
    <row r="91" spans="1:18" x14ac:dyDescent="0.2">
      <c r="A91" s="795" t="s">
        <v>1107</v>
      </c>
      <c r="B91" s="722"/>
      <c r="C91" s="801">
        <v>74518000</v>
      </c>
      <c r="D91" s="755"/>
      <c r="E91" s="801">
        <v>65547000</v>
      </c>
      <c r="G91" s="765">
        <v>72145813</v>
      </c>
      <c r="I91" s="765">
        <v>81221782</v>
      </c>
      <c r="K91" s="765">
        <v>86083073</v>
      </c>
      <c r="M91" s="765"/>
    </row>
    <row r="92" spans="1:18" x14ac:dyDescent="0.2">
      <c r="A92" s="795" t="s">
        <v>1108</v>
      </c>
      <c r="B92" s="722"/>
      <c r="C92" s="801">
        <v>24502000</v>
      </c>
      <c r="D92" s="755"/>
      <c r="E92" s="801">
        <v>24568000</v>
      </c>
      <c r="G92" s="765">
        <v>24654000</v>
      </c>
      <c r="I92" s="765">
        <v>24654000</v>
      </c>
      <c r="K92" s="765">
        <v>24654000</v>
      </c>
      <c r="M92" s="765"/>
    </row>
    <row r="93" spans="1:18" x14ac:dyDescent="0.2">
      <c r="A93" s="734" t="s">
        <v>1109</v>
      </c>
      <c r="B93" s="722"/>
      <c r="C93" s="744">
        <v>1052873000</v>
      </c>
      <c r="D93" s="755"/>
      <c r="E93" s="744">
        <v>1133704000</v>
      </c>
      <c r="G93" s="765">
        <v>1069836911.8863484</v>
      </c>
      <c r="I93" s="765">
        <v>1093799876.0318847</v>
      </c>
      <c r="K93" s="765">
        <v>1385589414.0124638</v>
      </c>
      <c r="M93" s="765"/>
    </row>
    <row r="94" spans="1:18" x14ac:dyDescent="0.2">
      <c r="A94" s="800" t="s">
        <v>1086</v>
      </c>
      <c r="B94" s="722"/>
      <c r="C94" s="744">
        <v>632452000</v>
      </c>
      <c r="D94" s="755"/>
      <c r="E94" s="744">
        <v>695659000</v>
      </c>
      <c r="G94" s="765">
        <v>727528549.91938806</v>
      </c>
      <c r="I94" s="765">
        <v>721949851.65573251</v>
      </c>
      <c r="K94" s="765">
        <v>847789008.05866361</v>
      </c>
      <c r="M94" s="765"/>
    </row>
    <row r="95" spans="1:18" x14ac:dyDescent="0.2">
      <c r="A95" s="800" t="s">
        <v>1087</v>
      </c>
      <c r="B95" s="722"/>
      <c r="C95" s="744">
        <v>12251000</v>
      </c>
      <c r="D95" s="755"/>
      <c r="E95" s="744">
        <v>12284000</v>
      </c>
      <c r="G95" s="765">
        <v>12327000</v>
      </c>
      <c r="I95" s="765">
        <v>12327000</v>
      </c>
      <c r="K95" s="765">
        <v>12327000</v>
      </c>
      <c r="M95" s="765"/>
    </row>
    <row r="96" spans="1:18" x14ac:dyDescent="0.2">
      <c r="A96" s="800" t="s">
        <v>1088</v>
      </c>
      <c r="B96" s="722"/>
      <c r="C96" s="744">
        <v>408170000</v>
      </c>
      <c r="D96" s="755"/>
      <c r="E96" s="744">
        <v>425761000</v>
      </c>
      <c r="G96" s="765">
        <v>329981361.96696031</v>
      </c>
      <c r="I96" s="765">
        <v>359523024.37615228</v>
      </c>
      <c r="K96" s="765">
        <v>525473405.95379996</v>
      </c>
      <c r="M96" s="765"/>
    </row>
    <row r="97" spans="1:13" x14ac:dyDescent="0.2">
      <c r="A97" s="802"/>
      <c r="B97" s="722"/>
      <c r="C97" s="1714"/>
      <c r="D97" s="755"/>
      <c r="E97" s="802"/>
    </row>
    <row r="98" spans="1:13" x14ac:dyDescent="0.2">
      <c r="A98" s="795" t="s">
        <v>1110</v>
      </c>
      <c r="B98" s="722"/>
      <c r="C98" s="744">
        <v>11307924620.68</v>
      </c>
      <c r="D98" s="755"/>
      <c r="E98" s="744">
        <v>12057226826</v>
      </c>
      <c r="G98" s="765">
        <v>12220746143.565611</v>
      </c>
      <c r="I98" s="765">
        <v>12311650052.645624</v>
      </c>
      <c r="K98" s="765">
        <v>12959242344.474024</v>
      </c>
      <c r="M98" s="765"/>
    </row>
    <row r="99" spans="1:13" x14ac:dyDescent="0.2">
      <c r="A99" s="795" t="s">
        <v>1111</v>
      </c>
      <c r="B99" s="722"/>
      <c r="C99" s="803">
        <v>1740986.4166666667</v>
      </c>
      <c r="D99" s="804"/>
      <c r="E99" s="803">
        <v>1770964.9166666667</v>
      </c>
      <c r="F99" s="805"/>
      <c r="G99" s="806">
        <v>1804507.3327585778</v>
      </c>
      <c r="I99" s="806">
        <v>1762411.1690295408</v>
      </c>
      <c r="K99" s="806">
        <v>1786515.998051449</v>
      </c>
      <c r="M99" s="807"/>
    </row>
    <row r="100" spans="1:13" x14ac:dyDescent="0.2">
      <c r="A100" s="797" t="s">
        <v>1095</v>
      </c>
      <c r="B100" s="722"/>
      <c r="C100" s="808">
        <v>21027583.650000002</v>
      </c>
      <c r="D100" s="809"/>
      <c r="E100" s="808">
        <v>23363826</v>
      </c>
      <c r="G100" s="765">
        <v>31054900.308035199</v>
      </c>
      <c r="I100" s="765">
        <v>24222359.360241938</v>
      </c>
      <c r="K100" s="765">
        <v>24625000</v>
      </c>
      <c r="M100" s="765"/>
    </row>
    <row r="101" spans="1:13" x14ac:dyDescent="0.2">
      <c r="A101" s="797" t="s">
        <v>1086</v>
      </c>
      <c r="B101" s="722"/>
      <c r="C101" s="744">
        <v>3910586958.1299992</v>
      </c>
      <c r="D101" s="755"/>
      <c r="E101" s="744">
        <v>4039242999.9999995</v>
      </c>
      <c r="G101" s="765">
        <v>4145307713.5366077</v>
      </c>
      <c r="I101" s="765">
        <v>4075456750</v>
      </c>
      <c r="K101" s="765">
        <v>4351699007</v>
      </c>
      <c r="M101" s="765"/>
    </row>
    <row r="102" spans="1:13" x14ac:dyDescent="0.2">
      <c r="A102" s="797" t="s">
        <v>1087</v>
      </c>
      <c r="B102" s="722"/>
      <c r="C102" s="808">
        <v>237278078.90000001</v>
      </c>
      <c r="D102" s="809"/>
      <c r="E102" s="808">
        <v>436057000</v>
      </c>
      <c r="G102" s="765">
        <v>513740703</v>
      </c>
      <c r="I102" s="765">
        <v>536064855</v>
      </c>
      <c r="K102" s="765">
        <v>540170000</v>
      </c>
      <c r="M102" s="765"/>
    </row>
    <row r="103" spans="1:13" x14ac:dyDescent="0.2">
      <c r="A103" s="797" t="s">
        <v>1088</v>
      </c>
      <c r="B103" s="722"/>
      <c r="C103" s="744">
        <v>7139032000.000001</v>
      </c>
      <c r="D103" s="755"/>
      <c r="E103" s="744">
        <v>7558563000</v>
      </c>
      <c r="G103" s="765">
        <v>7530642826.7209682</v>
      </c>
      <c r="I103" s="765">
        <v>7675906088.3373747</v>
      </c>
      <c r="K103" s="765">
        <v>8042748337</v>
      </c>
      <c r="M103" s="765"/>
    </row>
    <row r="104" spans="1:13" x14ac:dyDescent="0.2">
      <c r="A104" s="810"/>
      <c r="B104" s="722"/>
      <c r="C104" s="1715"/>
      <c r="D104" s="756"/>
      <c r="E104" s="811"/>
    </row>
    <row r="105" spans="1:13" ht="14.25" x14ac:dyDescent="0.2">
      <c r="A105" s="812" t="s">
        <v>1112</v>
      </c>
      <c r="B105" s="722"/>
      <c r="C105" s="1715"/>
      <c r="D105" s="756"/>
      <c r="E105" s="811"/>
    </row>
    <row r="106" spans="1:13" x14ac:dyDescent="0.2">
      <c r="A106" s="795" t="s">
        <v>1113</v>
      </c>
      <c r="B106" s="722"/>
      <c r="C106" s="730"/>
      <c r="D106" s="756"/>
      <c r="E106" s="730"/>
    </row>
    <row r="107" spans="1:13" x14ac:dyDescent="0.2">
      <c r="A107" s="797" t="s">
        <v>1114</v>
      </c>
      <c r="B107" s="722"/>
      <c r="C107" s="736">
        <v>732838</v>
      </c>
      <c r="D107" s="756"/>
      <c r="E107" s="736">
        <v>863273</v>
      </c>
      <c r="G107" s="736">
        <v>2592342.3893165998</v>
      </c>
      <c r="I107" s="736">
        <v>777372</v>
      </c>
      <c r="K107" s="736">
        <v>777372</v>
      </c>
      <c r="M107" s="757"/>
    </row>
    <row r="108" spans="1:13" x14ac:dyDescent="0.2">
      <c r="A108" s="797" t="s">
        <v>1115</v>
      </c>
      <c r="B108" s="722"/>
      <c r="C108" s="740">
        <v>427.52744391666494</v>
      </c>
      <c r="D108" s="756"/>
      <c r="E108" s="740">
        <v>379.08341930555133</v>
      </c>
      <c r="G108" s="740">
        <v>173.11132923882059</v>
      </c>
      <c r="I108" s="740">
        <v>385.49849668712665</v>
      </c>
      <c r="K108" s="740">
        <v>393.20846662086916</v>
      </c>
    </row>
    <row r="109" spans="1:13" x14ac:dyDescent="0.2">
      <c r="A109" s="800" t="s">
        <v>1116</v>
      </c>
      <c r="C109" s="813">
        <v>3759700283.3400106</v>
      </c>
      <c r="D109" s="756"/>
      <c r="E109" s="813">
        <v>3927029767.6099348</v>
      </c>
      <c r="G109" s="813">
        <v>5385166042.2808409</v>
      </c>
      <c r="I109" s="813">
        <v>3596108848.3999801</v>
      </c>
      <c r="K109" s="813">
        <v>3668031025.3679795</v>
      </c>
      <c r="M109" s="765"/>
    </row>
    <row r="110" spans="1:13" x14ac:dyDescent="0.2">
      <c r="A110" s="802"/>
      <c r="C110" s="1715"/>
      <c r="D110" s="755"/>
      <c r="E110" s="814"/>
      <c r="G110" s="814"/>
      <c r="I110" s="814"/>
      <c r="K110" s="814"/>
    </row>
    <row r="111" spans="1:13" x14ac:dyDescent="0.2">
      <c r="A111" s="795" t="s">
        <v>1117</v>
      </c>
      <c r="C111" s="730"/>
      <c r="D111" s="755"/>
      <c r="E111" s="730"/>
      <c r="G111" s="730"/>
      <c r="I111" s="730"/>
      <c r="K111" s="730"/>
    </row>
    <row r="112" spans="1:13" x14ac:dyDescent="0.2">
      <c r="A112" s="797" t="s">
        <v>1118</v>
      </c>
      <c r="C112" s="736">
        <v>28330767</v>
      </c>
      <c r="D112" s="756"/>
      <c r="E112" s="736">
        <v>28726164.175257731</v>
      </c>
      <c r="G112" s="736">
        <v>28306848.822694235</v>
      </c>
      <c r="I112" s="736">
        <v>29121561.350515462</v>
      </c>
      <c r="K112" s="736">
        <v>29516958.525773168</v>
      </c>
      <c r="M112" s="757"/>
    </row>
    <row r="113" spans="1:13" x14ac:dyDescent="0.2">
      <c r="A113" s="797" t="s">
        <v>1119</v>
      </c>
      <c r="C113" s="740">
        <v>64.275576266607956</v>
      </c>
      <c r="D113" s="756"/>
      <c r="E113" s="740">
        <v>68.02185732416774</v>
      </c>
      <c r="G113" s="740">
        <v>73.973777195872614</v>
      </c>
      <c r="I113" s="740">
        <v>70.910635152584234</v>
      </c>
      <c r="K113" s="740">
        <v>74.219118627025267</v>
      </c>
    </row>
    <row r="114" spans="1:13" x14ac:dyDescent="0.2">
      <c r="A114" s="800" t="s">
        <v>1120</v>
      </c>
      <c r="C114" s="813">
        <v>1820976375</v>
      </c>
      <c r="D114" s="756"/>
      <c r="E114" s="813">
        <v>1954007041</v>
      </c>
      <c r="G114" s="813">
        <v>2093964527.9272323</v>
      </c>
      <c r="I114" s="813">
        <v>2065028412</v>
      </c>
      <c r="K114" s="813">
        <v>2190722646.3333435</v>
      </c>
      <c r="M114" s="765"/>
    </row>
    <row r="115" spans="1:13" x14ac:dyDescent="0.2">
      <c r="A115" s="802"/>
      <c r="C115" s="1715"/>
      <c r="D115" s="755"/>
      <c r="E115" s="814"/>
      <c r="G115" s="814"/>
      <c r="I115" s="814"/>
      <c r="K115" s="814"/>
    </row>
    <row r="116" spans="1:13" x14ac:dyDescent="0.2">
      <c r="A116" s="795" t="s">
        <v>1121</v>
      </c>
      <c r="C116" s="730"/>
      <c r="D116" s="755"/>
      <c r="E116" s="730"/>
      <c r="G116" s="730"/>
      <c r="I116" s="730"/>
      <c r="K116" s="730"/>
    </row>
    <row r="117" spans="1:13" x14ac:dyDescent="0.2">
      <c r="A117" s="797" t="s">
        <v>1122</v>
      </c>
      <c r="C117" s="736">
        <v>28397</v>
      </c>
      <c r="D117" s="755"/>
      <c r="E117" s="736">
        <v>28546</v>
      </c>
      <c r="G117" s="736">
        <v>28184.988445738916</v>
      </c>
      <c r="I117" s="736">
        <v>27800</v>
      </c>
      <c r="K117" s="736">
        <v>27106</v>
      </c>
      <c r="M117" s="757"/>
    </row>
    <row r="118" spans="1:13" x14ac:dyDescent="0.2">
      <c r="A118" s="797" t="s">
        <v>1123</v>
      </c>
      <c r="C118" s="740">
        <v>5237.0441683980698</v>
      </c>
      <c r="D118" s="755"/>
      <c r="E118" s="740">
        <v>5384.0521409888133</v>
      </c>
      <c r="G118" s="740">
        <v>5113.8567726945284</v>
      </c>
      <c r="I118" s="740">
        <v>5534.8056009365</v>
      </c>
      <c r="K118" s="740">
        <v>5689.7801577627224</v>
      </c>
      <c r="M118" s="763"/>
    </row>
    <row r="119" spans="1:13" x14ac:dyDescent="0.2">
      <c r="A119" s="800" t="s">
        <v>1124</v>
      </c>
      <c r="C119" s="813">
        <v>1784596119</v>
      </c>
      <c r="D119" s="755"/>
      <c r="E119" s="813">
        <v>1844317829</v>
      </c>
      <c r="G119" s="813">
        <v>1729607928.6187077</v>
      </c>
      <c r="I119" s="813">
        <v>1846411148.4724164</v>
      </c>
      <c r="K119" s="813">
        <v>1850726171.4757962</v>
      </c>
      <c r="M119" s="765"/>
    </row>
    <row r="120" spans="1:13" x14ac:dyDescent="0.2">
      <c r="A120" s="800"/>
      <c r="C120" s="730"/>
      <c r="D120" s="755"/>
      <c r="E120" s="730"/>
      <c r="G120" s="730"/>
      <c r="I120" s="730"/>
      <c r="K120" s="730"/>
    </row>
    <row r="121" spans="1:13" x14ac:dyDescent="0.2">
      <c r="A121" s="795" t="s">
        <v>1125</v>
      </c>
      <c r="C121" s="730"/>
      <c r="D121" s="755"/>
      <c r="E121" s="730"/>
      <c r="G121" s="730"/>
      <c r="I121" s="730"/>
      <c r="K121" s="730"/>
    </row>
    <row r="122" spans="1:13" x14ac:dyDescent="0.2">
      <c r="A122" s="797" t="s">
        <v>1126</v>
      </c>
      <c r="C122" s="736">
        <v>16335</v>
      </c>
      <c r="D122" s="755"/>
      <c r="E122" s="736">
        <v>22513</v>
      </c>
      <c r="G122" s="736">
        <v>24838.418992656239</v>
      </c>
      <c r="I122" s="736">
        <v>27702</v>
      </c>
      <c r="K122" s="736">
        <v>32905</v>
      </c>
      <c r="M122" s="757"/>
    </row>
    <row r="123" spans="1:13" x14ac:dyDescent="0.2">
      <c r="A123" s="797" t="s">
        <v>1123</v>
      </c>
      <c r="C123" s="740">
        <v>2262.9712835424957</v>
      </c>
      <c r="D123" s="755"/>
      <c r="E123" s="740">
        <v>2304.8913109462683</v>
      </c>
      <c r="G123" s="740">
        <v>2198.2949297767345</v>
      </c>
      <c r="I123" s="740">
        <v>2347.5318001987744</v>
      </c>
      <c r="K123" s="740">
        <v>2390.9611385024514</v>
      </c>
      <c r="M123" s="763"/>
    </row>
    <row r="124" spans="1:13" x14ac:dyDescent="0.2">
      <c r="A124" s="800" t="s">
        <v>1127</v>
      </c>
      <c r="C124" s="813">
        <v>443587631</v>
      </c>
      <c r="D124" s="755"/>
      <c r="E124" s="813">
        <v>622680217</v>
      </c>
      <c r="G124" s="813">
        <v>655226046.42271626</v>
      </c>
      <c r="I124" s="813">
        <v>780375911.14927733</v>
      </c>
      <c r="K124" s="813">
        <v>944094915.14907789</v>
      </c>
      <c r="M124" s="765"/>
    </row>
    <row r="125" spans="1:13" x14ac:dyDescent="0.2">
      <c r="A125" s="815"/>
      <c r="C125" s="744"/>
      <c r="D125" s="755"/>
      <c r="E125" s="744"/>
      <c r="G125" s="744"/>
      <c r="I125" s="744"/>
      <c r="K125" s="744"/>
    </row>
    <row r="126" spans="1:13" x14ac:dyDescent="0.2">
      <c r="A126" s="795" t="s">
        <v>1128</v>
      </c>
      <c r="C126" s="730"/>
      <c r="D126" s="755"/>
      <c r="E126" s="730"/>
      <c r="G126" s="730"/>
      <c r="I126" s="730"/>
      <c r="K126" s="730"/>
    </row>
    <row r="127" spans="1:13" x14ac:dyDescent="0.2">
      <c r="A127" s="797" t="s">
        <v>1126</v>
      </c>
      <c r="C127" s="736">
        <v>830</v>
      </c>
      <c r="D127" s="756"/>
      <c r="E127" s="736">
        <v>871</v>
      </c>
      <c r="G127" s="736">
        <v>1024</v>
      </c>
      <c r="I127" s="736">
        <v>927</v>
      </c>
      <c r="K127" s="736">
        <v>964</v>
      </c>
      <c r="M127" s="757"/>
    </row>
    <row r="128" spans="1:13" x14ac:dyDescent="0.2">
      <c r="A128" s="797" t="s">
        <v>1123</v>
      </c>
      <c r="C128" s="740">
        <v>4396.4317269076309</v>
      </c>
      <c r="D128" s="756"/>
      <c r="E128" s="740">
        <v>4426.3530424799083</v>
      </c>
      <c r="G128" s="740">
        <v>4324.4537772151743</v>
      </c>
      <c r="I128" s="740">
        <v>4253.6385293060048</v>
      </c>
      <c r="K128" s="740">
        <v>4225.6774723374829</v>
      </c>
      <c r="M128" s="763"/>
    </row>
    <row r="129" spans="1:14" x14ac:dyDescent="0.2">
      <c r="A129" s="800" t="s">
        <v>1129</v>
      </c>
      <c r="C129" s="813">
        <v>43788460</v>
      </c>
      <c r="D129" s="756"/>
      <c r="E129" s="813">
        <v>46264242</v>
      </c>
      <c r="G129" s="813">
        <v>53138888.014420062</v>
      </c>
      <c r="I129" s="813">
        <v>47317475</v>
      </c>
      <c r="K129" s="813">
        <v>48882637</v>
      </c>
      <c r="M129" s="765"/>
    </row>
    <row r="130" spans="1:14" x14ac:dyDescent="0.2">
      <c r="C130" s="1718"/>
      <c r="D130" s="756"/>
    </row>
    <row r="131" spans="1:14" x14ac:dyDescent="0.2">
      <c r="A131" s="792" t="s">
        <v>194</v>
      </c>
      <c r="C131" s="1719"/>
      <c r="D131" s="756"/>
      <c r="E131" s="816"/>
    </row>
    <row r="132" spans="1:14" x14ac:dyDescent="0.2">
      <c r="A132" s="792" t="s">
        <v>195</v>
      </c>
      <c r="C132" s="1719"/>
      <c r="D132" s="756"/>
      <c r="E132" s="816"/>
    </row>
    <row r="133" spans="1:14" x14ac:dyDescent="0.2">
      <c r="A133" s="732" t="s">
        <v>196</v>
      </c>
      <c r="C133" s="1720"/>
      <c r="D133" s="756"/>
      <c r="E133" s="817"/>
    </row>
    <row r="134" spans="1:14" x14ac:dyDescent="0.2">
      <c r="A134" s="734" t="s">
        <v>197</v>
      </c>
      <c r="C134" s="1721">
        <v>158</v>
      </c>
      <c r="D134" s="756"/>
      <c r="E134" s="818">
        <v>150</v>
      </c>
      <c r="G134" s="758">
        <v>144</v>
      </c>
      <c r="I134" s="758">
        <v>138</v>
      </c>
      <c r="K134" s="758">
        <v>138</v>
      </c>
    </row>
    <row r="135" spans="1:14" x14ac:dyDescent="0.2">
      <c r="A135" s="734" t="s">
        <v>261</v>
      </c>
      <c r="C135" s="1721">
        <v>310</v>
      </c>
      <c r="D135" s="756"/>
      <c r="E135" s="818">
        <v>300</v>
      </c>
      <c r="G135" s="758">
        <v>300</v>
      </c>
      <c r="I135" s="758">
        <v>289</v>
      </c>
      <c r="K135" s="758">
        <v>289</v>
      </c>
    </row>
    <row r="136" spans="1:14" x14ac:dyDescent="0.2">
      <c r="A136" s="734" t="s">
        <v>198</v>
      </c>
      <c r="C136" s="1721">
        <v>468</v>
      </c>
      <c r="D136" s="756"/>
      <c r="E136" s="818">
        <v>450</v>
      </c>
      <c r="G136" s="758">
        <v>444</v>
      </c>
      <c r="I136" s="758">
        <v>427</v>
      </c>
      <c r="K136" s="758">
        <v>427</v>
      </c>
    </row>
    <row r="137" spans="1:14" x14ac:dyDescent="0.2">
      <c r="A137" s="732" t="s">
        <v>199</v>
      </c>
      <c r="C137" s="1719"/>
      <c r="D137" s="756"/>
      <c r="E137" s="816"/>
    </row>
    <row r="138" spans="1:14" x14ac:dyDescent="0.2">
      <c r="A138" s="734" t="s">
        <v>1130</v>
      </c>
      <c r="C138" s="1722">
        <v>468</v>
      </c>
      <c r="D138" s="756"/>
      <c r="E138" s="819">
        <v>450</v>
      </c>
      <c r="G138" s="820">
        <v>444</v>
      </c>
      <c r="I138" s="820">
        <v>427</v>
      </c>
      <c r="K138" s="820">
        <v>427</v>
      </c>
      <c r="M138" s="820"/>
    </row>
    <row r="139" spans="1:14" x14ac:dyDescent="0.2">
      <c r="A139" s="734" t="s">
        <v>198</v>
      </c>
      <c r="C139" s="1722">
        <v>468</v>
      </c>
      <c r="D139" s="756"/>
      <c r="E139" s="819">
        <v>450</v>
      </c>
      <c r="G139" s="820">
        <v>444</v>
      </c>
      <c r="I139" s="820">
        <v>427</v>
      </c>
      <c r="K139" s="820">
        <v>427</v>
      </c>
      <c r="M139" s="820"/>
    </row>
    <row r="140" spans="1:14" x14ac:dyDescent="0.2">
      <c r="A140" s="734"/>
      <c r="C140" s="819"/>
      <c r="D140" s="756"/>
      <c r="E140" s="819"/>
    </row>
    <row r="141" spans="1:14" x14ac:dyDescent="0.2">
      <c r="A141" s="821" t="s">
        <v>200</v>
      </c>
    </row>
    <row r="142" spans="1:14" ht="28.5" customHeight="1" x14ac:dyDescent="0.2">
      <c r="A142" s="1792" t="s">
        <v>977</v>
      </c>
      <c r="B142" s="1793"/>
      <c r="C142" s="1794"/>
      <c r="D142" s="1793"/>
      <c r="E142" s="1794"/>
      <c r="F142" s="1793"/>
      <c r="G142" s="1794"/>
      <c r="H142" s="1793"/>
      <c r="I142" s="1794"/>
      <c r="J142" s="1793"/>
      <c r="K142" s="1794"/>
      <c r="L142" s="1793"/>
      <c r="M142" s="1794"/>
      <c r="N142" s="1793"/>
    </row>
    <row r="143" spans="1:14" x14ac:dyDescent="0.2">
      <c r="A143" s="824" t="s">
        <v>1131</v>
      </c>
    </row>
    <row r="144" spans="1:14" ht="24.75" customHeight="1" x14ac:dyDescent="0.2">
      <c r="A144" s="1792" t="s">
        <v>1132</v>
      </c>
      <c r="B144" s="1793"/>
      <c r="C144" s="1794"/>
      <c r="D144" s="1793"/>
      <c r="E144" s="1794"/>
      <c r="F144" s="1793"/>
      <c r="G144" s="1794"/>
      <c r="H144" s="1793"/>
      <c r="I144" s="1794"/>
      <c r="J144" s="1793"/>
      <c r="K144" s="1794"/>
      <c r="L144" s="1793"/>
      <c r="M144" s="1794"/>
      <c r="N144" s="1793"/>
    </row>
    <row r="145" spans="1:1" x14ac:dyDescent="0.2">
      <c r="A145" s="825" t="s">
        <v>1133</v>
      </c>
    </row>
    <row r="146" spans="1:1" x14ac:dyDescent="0.2">
      <c r="A146" s="825" t="s">
        <v>1134</v>
      </c>
    </row>
    <row r="147" spans="1:1" x14ac:dyDescent="0.2">
      <c r="A147" s="825" t="s">
        <v>1135</v>
      </c>
    </row>
  </sheetData>
  <mergeCells count="3">
    <mergeCell ref="A142:N142"/>
    <mergeCell ref="A144:N144"/>
    <mergeCell ref="K2:K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72" fitToHeight="99" pageOrder="overThenDown" orientation="portrait" blackAndWhite="1"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49">
    <pageSetUpPr fitToPage="1"/>
  </sheetPr>
  <dimension ref="A1:V16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5703125" style="25" customWidth="1"/>
    <col min="2" max="2" width="6.42578125" style="26" bestFit="1" customWidth="1"/>
    <col min="3" max="3" width="15.42578125" style="61" customWidth="1"/>
    <col min="4" max="4" width="3" style="61" customWidth="1"/>
    <col min="5" max="5" width="14.28515625" style="59" customWidth="1"/>
    <col min="6" max="6" width="2.85546875" style="60" customWidth="1"/>
    <col min="7" max="7" width="13.5703125" style="59" hidden="1" customWidth="1"/>
    <col min="8" max="8" width="3.140625" style="60" hidden="1" customWidth="1"/>
    <col min="9" max="9" width="14.5703125" style="59" customWidth="1"/>
    <col min="10" max="10" width="3.140625" style="60" bestFit="1" customWidth="1"/>
    <col min="11" max="11" width="13.28515625" style="59" customWidth="1"/>
    <col min="12" max="12" width="3.140625" style="60" bestFit="1" customWidth="1"/>
    <col min="13" max="13" width="13.5703125" style="59" hidden="1" customWidth="1"/>
    <col min="14" max="14" width="3.140625" style="60" hidden="1" customWidth="1"/>
    <col min="15" max="15" width="20" style="59" bestFit="1" customWidth="1"/>
    <col min="16" max="16" width="1.5703125" style="60" hidden="1" customWidth="1"/>
    <col min="17" max="17" width="16.7109375" style="29" bestFit="1" customWidth="1"/>
    <col min="18" max="18" width="0.42578125" style="29" customWidth="1"/>
    <col min="19" max="19" width="12.7109375" style="29" bestFit="1" customWidth="1"/>
    <col min="20" max="20" width="11.5703125" style="29" customWidth="1"/>
    <col min="21" max="21" width="0.5703125" style="29" customWidth="1"/>
    <col min="22" max="22" width="10" style="29" customWidth="1"/>
    <col min="23"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1060</v>
      </c>
      <c r="C3" s="10" t="s">
        <v>1061</v>
      </c>
      <c r="D3" s="6"/>
      <c r="E3" s="11"/>
      <c r="F3" s="9"/>
      <c r="G3" s="11"/>
      <c r="H3" s="6"/>
      <c r="I3" s="11"/>
      <c r="J3" s="6"/>
      <c r="K3" s="1734"/>
      <c r="L3" s="6"/>
      <c r="M3" s="11"/>
      <c r="N3" s="6"/>
    </row>
    <row r="4" spans="1:16" s="4" customFormat="1" ht="15.75" x14ac:dyDescent="0.25">
      <c r="A4" s="1" t="s">
        <v>180</v>
      </c>
      <c r="B4" s="10" t="s">
        <v>514</v>
      </c>
      <c r="C4" s="10" t="s">
        <v>28</v>
      </c>
      <c r="D4" s="6"/>
      <c r="E4" s="11"/>
      <c r="F4" s="9"/>
      <c r="G4" s="11"/>
      <c r="H4" s="6"/>
      <c r="I4" s="11"/>
      <c r="J4" s="6"/>
      <c r="K4" s="11"/>
      <c r="L4" s="6"/>
      <c r="M4" s="11"/>
      <c r="N4" s="6"/>
    </row>
    <row r="5" spans="1:16" s="4" customFormat="1" ht="15.75" x14ac:dyDescent="0.2">
      <c r="A5" s="1" t="s">
        <v>183</v>
      </c>
      <c r="B5" s="12"/>
      <c r="C5" s="12"/>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1136</v>
      </c>
      <c r="B11" s="36"/>
      <c r="C11" s="826"/>
      <c r="D11" s="87"/>
      <c r="E11" s="87"/>
      <c r="M11" s="87"/>
    </row>
    <row r="12" spans="1:16" s="40" customFormat="1" x14ac:dyDescent="0.2">
      <c r="A12" s="41" t="s">
        <v>1137</v>
      </c>
      <c r="B12" s="39"/>
      <c r="C12" s="827"/>
      <c r="D12" s="63"/>
      <c r="E12" s="63"/>
      <c r="M12" s="63"/>
    </row>
    <row r="13" spans="1:16" s="40" customFormat="1" ht="15" x14ac:dyDescent="0.25">
      <c r="A13" s="90" t="s">
        <v>1138</v>
      </c>
      <c r="B13" s="39"/>
      <c r="C13" s="639">
        <v>4234</v>
      </c>
      <c r="D13" s="43"/>
      <c r="E13" s="828">
        <v>4253.75</v>
      </c>
      <c r="F13" s="44"/>
      <c r="G13" s="43">
        <v>4302.4669999999996</v>
      </c>
      <c r="H13" s="44"/>
      <c r="I13" s="828">
        <v>4371.979166666667</v>
      </c>
      <c r="J13" s="44"/>
      <c r="K13" s="828">
        <v>4422.4583333333321</v>
      </c>
      <c r="M13" s="62"/>
    </row>
    <row r="14" spans="1:16" s="40" customFormat="1" x14ac:dyDescent="0.2">
      <c r="A14" s="90" t="s">
        <v>1139</v>
      </c>
      <c r="B14" s="39"/>
      <c r="C14" s="829">
        <f>1.11-0.015086531</f>
        <v>1.0949134690000002</v>
      </c>
      <c r="D14" s="830"/>
      <c r="E14" s="831">
        <v>1.0002118229013615</v>
      </c>
      <c r="F14" s="832"/>
      <c r="G14" s="830">
        <v>0.95</v>
      </c>
      <c r="H14" s="832"/>
      <c r="I14" s="831">
        <v>0.91792824807605267</v>
      </c>
      <c r="J14" s="832"/>
      <c r="K14" s="831">
        <v>0.84416743609794709</v>
      </c>
      <c r="M14" s="833"/>
    </row>
    <row r="15" spans="1:16" s="40" customFormat="1" ht="15" x14ac:dyDescent="0.25">
      <c r="A15" s="90" t="s">
        <v>1140</v>
      </c>
      <c r="B15" s="39"/>
      <c r="C15" s="834">
        <v>35.65</v>
      </c>
      <c r="D15" s="835"/>
      <c r="E15" s="836">
        <v>48.397594782753572</v>
      </c>
      <c r="F15" s="837"/>
      <c r="G15" s="835">
        <f>70.324-7.40267</f>
        <v>62.921329999999998</v>
      </c>
      <c r="H15" s="837"/>
      <c r="I15" s="836">
        <v>44.937731417050024</v>
      </c>
      <c r="J15" s="837"/>
      <c r="K15" s="836">
        <v>48.439172850560816</v>
      </c>
      <c r="M15" s="253"/>
      <c r="O15" s="838"/>
    </row>
    <row r="16" spans="1:16" s="40" customFormat="1" x14ac:dyDescent="0.2">
      <c r="A16" s="90" t="s">
        <v>1141</v>
      </c>
      <c r="B16" s="39"/>
      <c r="C16" s="839">
        <f>PRODUCT(C13:C15)*12</f>
        <v>1983222.4599497393</v>
      </c>
      <c r="D16" s="106"/>
      <c r="E16" s="839">
        <f>PRODUCT(E13:E15)*12</f>
        <v>2470978.5246792445</v>
      </c>
      <c r="F16" s="839"/>
      <c r="G16" s="839">
        <f>PRODUCT(G13:G15)*12</f>
        <v>3086173.1835006531</v>
      </c>
      <c r="I16" s="839">
        <f t="shared" ref="I16:K16" si="0">PRODUCT(I13:I15)*12</f>
        <v>2164109.3878147923</v>
      </c>
      <c r="J16" s="839"/>
      <c r="K16" s="839">
        <f t="shared" si="0"/>
        <v>2170052.8433325109</v>
      </c>
      <c r="M16" s="97"/>
      <c r="O16" s="839"/>
    </row>
    <row r="17" spans="1:22" s="40" customFormat="1" x14ac:dyDescent="0.2">
      <c r="A17" s="41" t="s">
        <v>1142</v>
      </c>
      <c r="B17" s="39"/>
      <c r="C17" s="840"/>
      <c r="D17" s="106"/>
      <c r="E17" s="841"/>
      <c r="G17" s="841"/>
      <c r="I17" s="841"/>
      <c r="M17" s="611"/>
      <c r="O17" s="842"/>
    </row>
    <row r="18" spans="1:22" s="40" customFormat="1" x14ac:dyDescent="0.2">
      <c r="A18" s="90" t="s">
        <v>1143</v>
      </c>
      <c r="B18" s="39"/>
      <c r="C18" s="843"/>
      <c r="D18" s="106"/>
      <c r="E18" s="844"/>
      <c r="G18" s="844"/>
      <c r="I18" s="844"/>
      <c r="M18" s="845"/>
    </row>
    <row r="19" spans="1:22" s="40" customFormat="1" ht="15" x14ac:dyDescent="0.25">
      <c r="A19" s="131" t="s">
        <v>1138</v>
      </c>
      <c r="B19" s="39"/>
      <c r="C19" s="846">
        <v>90845</v>
      </c>
      <c r="D19" s="106"/>
      <c r="E19" s="847">
        <v>88168.833333333328</v>
      </c>
      <c r="G19" s="848">
        <v>85582.782999999996</v>
      </c>
      <c r="I19" s="847">
        <v>85651.645833333328</v>
      </c>
      <c r="K19" s="828">
        <v>83008.041666666642</v>
      </c>
      <c r="M19" s="62"/>
    </row>
    <row r="20" spans="1:22" s="40" customFormat="1" x14ac:dyDescent="0.2">
      <c r="A20" s="131" t="s">
        <v>1139</v>
      </c>
      <c r="B20" s="39"/>
      <c r="C20" s="856">
        <f>1.7919999-0.00126452589</f>
        <v>1.7907353741100001</v>
      </c>
      <c r="D20" s="830"/>
      <c r="E20" s="831">
        <v>1.7363619643554826</v>
      </c>
      <c r="F20" s="832"/>
      <c r="G20" s="830">
        <f>1.6716389</f>
        <v>1.6716389</v>
      </c>
      <c r="H20" s="832"/>
      <c r="I20" s="831">
        <v>1.8949841901527071</v>
      </c>
      <c r="J20" s="832"/>
      <c r="K20" s="831">
        <v>1.6727149937421348</v>
      </c>
      <c r="M20" s="833"/>
      <c r="V20" s="852"/>
    </row>
    <row r="21" spans="1:22" s="40" customFormat="1" ht="15" x14ac:dyDescent="0.25">
      <c r="A21" s="131" t="s">
        <v>1140</v>
      </c>
      <c r="B21" s="39"/>
      <c r="C21" s="834">
        <v>31.55</v>
      </c>
      <c r="D21" s="835"/>
      <c r="E21" s="836">
        <v>32.356350458551319</v>
      </c>
      <c r="F21" s="837"/>
      <c r="G21" s="835">
        <f>34.991+0.8703215</f>
        <v>35.861321500000003</v>
      </c>
      <c r="H21" s="837"/>
      <c r="I21" s="836">
        <v>31.740851326667794</v>
      </c>
      <c r="J21" s="837"/>
      <c r="K21" s="836">
        <v>31.3753110576788</v>
      </c>
      <c r="M21" s="253"/>
    </row>
    <row r="22" spans="1:22" s="40" customFormat="1" x14ac:dyDescent="0.2">
      <c r="A22" s="131" t="s">
        <v>1144</v>
      </c>
      <c r="B22" s="39"/>
      <c r="C22" s="839">
        <f>PRODUCT(C19:C21)*12</f>
        <v>61590403.826103285</v>
      </c>
      <c r="D22" s="106"/>
      <c r="E22" s="839">
        <f>PRODUCT(E19:E21)*12</f>
        <v>59442372.484338775</v>
      </c>
      <c r="F22" s="839"/>
      <c r="G22" s="839">
        <f>PRODUCT(G19:G21)*12</f>
        <v>61565357.994299248</v>
      </c>
      <c r="I22" s="839">
        <f>PRODUCT(I19:I21)*12</f>
        <v>61821725.215348542</v>
      </c>
      <c r="J22" s="839"/>
      <c r="K22" s="839">
        <f t="shared" ref="K22" si="1">PRODUCT(K19:K21)*12</f>
        <v>52277089.935032308</v>
      </c>
      <c r="M22" s="97"/>
      <c r="O22" s="853"/>
      <c r="Q22" s="854"/>
    </row>
    <row r="23" spans="1:22" s="37" customFormat="1" x14ac:dyDescent="0.2">
      <c r="A23" s="90" t="s">
        <v>1145</v>
      </c>
      <c r="B23" s="39"/>
      <c r="C23" s="392"/>
      <c r="D23" s="106"/>
      <c r="E23" s="106"/>
      <c r="F23" s="40"/>
      <c r="G23" s="106"/>
      <c r="I23" s="106"/>
      <c r="M23" s="76"/>
      <c r="N23" s="40"/>
      <c r="O23" s="40"/>
      <c r="P23" s="40"/>
      <c r="Q23" s="40"/>
      <c r="R23" s="40"/>
      <c r="S23" s="40"/>
      <c r="T23" s="40"/>
    </row>
    <row r="24" spans="1:22" s="40" customFormat="1" ht="15" x14ac:dyDescent="0.25">
      <c r="A24" s="131" t="s">
        <v>1138</v>
      </c>
      <c r="B24" s="39"/>
      <c r="C24" s="566">
        <v>28434</v>
      </c>
      <c r="D24" s="855"/>
      <c r="E24" s="847">
        <v>29559.166666666668</v>
      </c>
      <c r="G24" s="848">
        <v>30682.483</v>
      </c>
      <c r="I24" s="847">
        <v>30657.333333333332</v>
      </c>
      <c r="K24" s="828">
        <v>31770.294270833339</v>
      </c>
      <c r="M24" s="62"/>
    </row>
    <row r="25" spans="1:22" s="40" customFormat="1" x14ac:dyDescent="0.2">
      <c r="A25" s="131" t="s">
        <v>1139</v>
      </c>
      <c r="B25" s="39"/>
      <c r="C25" s="856">
        <v>1.97</v>
      </c>
      <c r="D25" s="830"/>
      <c r="E25" s="831">
        <v>1.8977410372792791</v>
      </c>
      <c r="F25" s="832"/>
      <c r="G25" s="830">
        <v>1.841</v>
      </c>
      <c r="H25" s="832"/>
      <c r="I25" s="831">
        <v>1.8700305867546645</v>
      </c>
      <c r="J25" s="832"/>
      <c r="K25" s="831">
        <v>1.8510845880745681</v>
      </c>
      <c r="M25" s="833"/>
    </row>
    <row r="26" spans="1:22" s="40" customFormat="1" x14ac:dyDescent="0.2">
      <c r="A26" s="131" t="s">
        <v>1140</v>
      </c>
      <c r="B26" s="39"/>
      <c r="C26" s="857">
        <v>33.9</v>
      </c>
      <c r="D26" s="850"/>
      <c r="E26" s="851">
        <v>33.102626984519574</v>
      </c>
      <c r="F26" s="254"/>
      <c r="G26" s="850">
        <v>33.793999999999997</v>
      </c>
      <c r="H26" s="254"/>
      <c r="I26" s="851">
        <v>33.796199112195119</v>
      </c>
      <c r="J26" s="254"/>
      <c r="K26" s="851">
        <v>33.631742293396037</v>
      </c>
      <c r="M26" s="253"/>
    </row>
    <row r="27" spans="1:22" s="40" customFormat="1" x14ac:dyDescent="0.2">
      <c r="A27" s="131" t="s">
        <v>1146</v>
      </c>
      <c r="B27" s="39"/>
      <c r="C27" s="839">
        <f>PRODUCT(C24:C26)*12</f>
        <v>22786893.863999996</v>
      </c>
      <c r="D27" s="106"/>
      <c r="E27" s="839">
        <f>PRODUCT(E24:E26)*12</f>
        <v>22282957.99098191</v>
      </c>
      <c r="F27" s="839"/>
      <c r="G27" s="839">
        <f>PRODUCT(G24:G26)*12</f>
        <v>22906837.58345018</v>
      </c>
      <c r="I27" s="839">
        <f t="shared" ref="I27:K27" si="2">PRODUCT(I24:I26)*12</f>
        <v>23250494.396836646</v>
      </c>
      <c r="K27" s="839">
        <f t="shared" si="2"/>
        <v>23734392.221635252</v>
      </c>
      <c r="M27" s="97"/>
    </row>
    <row r="28" spans="1:22" s="40" customFormat="1" x14ac:dyDescent="0.2">
      <c r="A28" s="858" t="s">
        <v>1147</v>
      </c>
      <c r="B28" s="39"/>
      <c r="C28" s="392"/>
      <c r="D28" s="106"/>
      <c r="E28" s="106"/>
      <c r="G28" s="106"/>
      <c r="I28" s="106"/>
      <c r="M28" s="76"/>
    </row>
    <row r="29" spans="1:22" s="40" customFormat="1" x14ac:dyDescent="0.2">
      <c r="A29" s="131" t="s">
        <v>1148</v>
      </c>
      <c r="B29" s="39"/>
      <c r="C29" s="839">
        <f>SUM(C16,C22,C27)</f>
        <v>86360520.150053024</v>
      </c>
      <c r="D29" s="106"/>
      <c r="E29" s="839">
        <f>SUM(E27,E22,E16)</f>
        <v>84196308.999999925</v>
      </c>
      <c r="G29" s="839">
        <f>SUM(G27,G22,G16)</f>
        <v>87558368.761250079</v>
      </c>
      <c r="I29" s="839">
        <f>SUM(I27,I22,I16)</f>
        <v>87236328.99999997</v>
      </c>
      <c r="K29" s="839">
        <f>SUM(K27,K22,K16)</f>
        <v>78181535.000000075</v>
      </c>
      <c r="M29" s="97"/>
      <c r="Q29" s="859"/>
    </row>
    <row r="30" spans="1:22" s="40" customFormat="1" x14ac:dyDescent="0.2">
      <c r="A30" s="131" t="s">
        <v>1149</v>
      </c>
      <c r="B30" s="39"/>
      <c r="C30" s="860">
        <v>28171432.850000001</v>
      </c>
      <c r="D30" s="106"/>
      <c r="E30" s="861">
        <v>26263985</v>
      </c>
      <c r="G30" s="862">
        <v>28000000</v>
      </c>
      <c r="I30" s="862">
        <v>28000000</v>
      </c>
      <c r="K30" s="862">
        <v>28000000</v>
      </c>
      <c r="M30" s="97"/>
    </row>
    <row r="31" spans="1:22" s="40" customFormat="1" x14ac:dyDescent="0.2">
      <c r="A31" s="863" t="s">
        <v>1150</v>
      </c>
      <c r="B31" s="39"/>
      <c r="C31" s="864">
        <v>-50380398</v>
      </c>
      <c r="D31" s="106"/>
      <c r="E31" s="865">
        <v>-50951555</v>
      </c>
      <c r="G31" s="865">
        <v>-51242196</v>
      </c>
      <c r="I31" s="865">
        <v>-53427329</v>
      </c>
      <c r="K31" s="865">
        <v>-53588535</v>
      </c>
      <c r="M31" s="611"/>
    </row>
    <row r="32" spans="1:22" s="40" customFormat="1" x14ac:dyDescent="0.2">
      <c r="A32" s="863" t="s">
        <v>1151</v>
      </c>
      <c r="B32" s="39"/>
      <c r="C32" s="864">
        <v>-1532555</v>
      </c>
      <c r="D32" s="106"/>
      <c r="E32" s="866">
        <v>-1395739</v>
      </c>
      <c r="G32" s="865">
        <v>-1807173</v>
      </c>
      <c r="I32" s="865">
        <v>-1300000</v>
      </c>
      <c r="K32" s="865">
        <v>-1300000</v>
      </c>
      <c r="M32" s="611"/>
    </row>
    <row r="33" spans="1:17" s="40" customFormat="1" x14ac:dyDescent="0.2">
      <c r="A33" s="131" t="s">
        <v>1152</v>
      </c>
      <c r="B33" s="39"/>
      <c r="C33" s="839">
        <f>SUM(C29:C32)</f>
        <v>62619000.000053018</v>
      </c>
      <c r="D33" s="106"/>
      <c r="E33" s="867">
        <f>SUM(E29:E32)</f>
        <v>58112999.999999925</v>
      </c>
      <c r="G33" s="867">
        <f>SUM(G29:G32)</f>
        <v>62508999.761250079</v>
      </c>
      <c r="I33" s="867">
        <f>SUM(I29:I32)</f>
        <v>60508999.99999997</v>
      </c>
      <c r="K33" s="867">
        <f>SUM(K29:K32)</f>
        <v>51293000.000000075</v>
      </c>
      <c r="M33" s="97"/>
    </row>
    <row r="34" spans="1:17" s="40" customFormat="1" x14ac:dyDescent="0.2">
      <c r="A34" s="90" t="s">
        <v>1153</v>
      </c>
      <c r="B34" s="39"/>
      <c r="C34" s="839">
        <f>(53404+597)*1000</f>
        <v>54001000</v>
      </c>
      <c r="D34" s="106"/>
      <c r="E34" s="867">
        <f>E33-E35</f>
        <v>49936999.999999925</v>
      </c>
      <c r="G34" s="867">
        <f>G33-G35</f>
        <v>54332999.761250079</v>
      </c>
      <c r="H34" s="842"/>
      <c r="I34" s="867">
        <f>I33-I35</f>
        <v>50950999.99999997</v>
      </c>
      <c r="J34" s="842"/>
      <c r="K34" s="867">
        <f>K33-K35</f>
        <v>41735000.000000075</v>
      </c>
      <c r="M34" s="97"/>
    </row>
    <row r="35" spans="1:17" s="40" customFormat="1" x14ac:dyDescent="0.2">
      <c r="A35" s="90" t="s">
        <v>1154</v>
      </c>
      <c r="B35" s="39"/>
      <c r="C35" s="839">
        <v>8618000</v>
      </c>
      <c r="D35" s="106"/>
      <c r="E35" s="867">
        <v>8176000</v>
      </c>
      <c r="G35" s="867">
        <v>8176000</v>
      </c>
      <c r="I35" s="867">
        <v>9558000</v>
      </c>
      <c r="K35" s="867">
        <v>9558000</v>
      </c>
      <c r="M35" s="97"/>
    </row>
    <row r="36" spans="1:17" s="40" customFormat="1" x14ac:dyDescent="0.2">
      <c r="A36" s="131"/>
      <c r="B36" s="39"/>
      <c r="C36" s="396"/>
      <c r="D36" s="106"/>
      <c r="E36" s="276"/>
      <c r="G36" s="276"/>
      <c r="I36" s="276"/>
      <c r="M36" s="97"/>
    </row>
    <row r="37" spans="1:17" s="40" customFormat="1" x14ac:dyDescent="0.2">
      <c r="A37" s="41" t="s">
        <v>1155</v>
      </c>
      <c r="B37" s="39"/>
      <c r="C37" s="868"/>
      <c r="D37" s="106"/>
      <c r="E37" s="869"/>
      <c r="G37" s="870"/>
      <c r="I37" s="870"/>
      <c r="M37" s="871"/>
    </row>
    <row r="38" spans="1:17" s="40" customFormat="1" x14ac:dyDescent="0.2">
      <c r="A38" s="90" t="s">
        <v>1143</v>
      </c>
      <c r="B38" s="39"/>
      <c r="C38" s="396"/>
      <c r="D38" s="106"/>
      <c r="E38" s="106"/>
      <c r="G38" s="106"/>
      <c r="I38" s="106"/>
      <c r="M38" s="97"/>
    </row>
    <row r="39" spans="1:17" s="40" customFormat="1" x14ac:dyDescent="0.2">
      <c r="A39" s="131" t="s">
        <v>1138</v>
      </c>
      <c r="B39" s="39"/>
      <c r="C39" s="436">
        <v>16600.25</v>
      </c>
      <c r="D39" s="106"/>
      <c r="E39" s="436">
        <v>16024.416666666666</v>
      </c>
      <c r="G39" s="436">
        <v>15622.65</v>
      </c>
      <c r="I39" s="436">
        <v>15338.291666666666</v>
      </c>
      <c r="K39" s="436">
        <v>14677</v>
      </c>
      <c r="M39" s="76"/>
    </row>
    <row r="40" spans="1:17" s="40" customFormat="1" x14ac:dyDescent="0.2">
      <c r="A40" s="131" t="s">
        <v>1139</v>
      </c>
      <c r="B40" s="39"/>
      <c r="C40" s="438">
        <v>1.3749332999999999</v>
      </c>
      <c r="D40" s="106"/>
      <c r="E40" s="438">
        <v>1.3219823775005448</v>
      </c>
      <c r="G40" s="438">
        <f>1.3107478-0.02406837</f>
        <v>1.28667943</v>
      </c>
      <c r="I40" s="438">
        <v>1.3014524800414053</v>
      </c>
      <c r="K40" s="65">
        <v>1.2300855939966544</v>
      </c>
      <c r="M40" s="65"/>
    </row>
    <row r="41" spans="1:17" s="40" customFormat="1" x14ac:dyDescent="0.2">
      <c r="A41" s="131" t="s">
        <v>1140</v>
      </c>
      <c r="B41" s="39"/>
      <c r="C41" s="872">
        <v>10.956</v>
      </c>
      <c r="D41" s="106"/>
      <c r="E41" s="872">
        <v>10.896666666666668</v>
      </c>
      <c r="G41" s="872">
        <f>10.89+0.19127</f>
        <v>11.08127</v>
      </c>
      <c r="H41" s="859"/>
      <c r="I41" s="872">
        <v>10.844583333333333</v>
      </c>
      <c r="J41" s="859"/>
      <c r="K41" s="872">
        <v>10.690833333333336</v>
      </c>
      <c r="M41" s="873"/>
    </row>
    <row r="42" spans="1:17" s="40" customFormat="1" x14ac:dyDescent="0.2">
      <c r="A42" s="131" t="s">
        <v>1156</v>
      </c>
      <c r="B42" s="39"/>
      <c r="C42" s="839">
        <f>PRODUCT(C39:C41)*12</f>
        <v>3000748.0228798641</v>
      </c>
      <c r="D42" s="106"/>
      <c r="E42" s="839">
        <f>PRODUCT(E39:E41)*12</f>
        <v>2770019.3748944411</v>
      </c>
      <c r="G42" s="839">
        <f>PRODUCT(G39:G41)*12</f>
        <v>2672980.8295751512</v>
      </c>
      <c r="H42" s="849"/>
      <c r="I42" s="839">
        <f>PRODUCT(I39:I41)*12</f>
        <v>2597762.3825870673</v>
      </c>
      <c r="J42" s="849"/>
      <c r="K42" s="839">
        <f>PRODUCT(K39:K41)*12</f>
        <v>2316143.331891675</v>
      </c>
      <c r="M42" s="839"/>
      <c r="N42" s="839"/>
    </row>
    <row r="43" spans="1:17" s="40" customFormat="1" x14ac:dyDescent="0.2">
      <c r="A43" s="90" t="s">
        <v>1145</v>
      </c>
      <c r="B43" s="39"/>
      <c r="C43" s="392"/>
      <c r="D43" s="106"/>
      <c r="E43" s="106"/>
      <c r="G43" s="106"/>
      <c r="I43" s="106"/>
      <c r="M43" s="76"/>
    </row>
    <row r="44" spans="1:17" s="40" customFormat="1" x14ac:dyDescent="0.2">
      <c r="A44" s="131" t="s">
        <v>1138</v>
      </c>
      <c r="B44" s="39"/>
      <c r="C44" s="436">
        <v>2350</v>
      </c>
      <c r="D44" s="106"/>
      <c r="E44" s="436">
        <v>2408.5</v>
      </c>
      <c r="G44" s="436">
        <v>2476</v>
      </c>
      <c r="I44" s="436">
        <v>2458.4791666666665</v>
      </c>
      <c r="K44" s="436">
        <v>2512.3750000000005</v>
      </c>
      <c r="M44" s="76"/>
      <c r="Q44" s="874"/>
    </row>
    <row r="45" spans="1:17" s="40" customFormat="1" x14ac:dyDescent="0.2">
      <c r="A45" s="131" t="s">
        <v>1139</v>
      </c>
      <c r="B45" s="39"/>
      <c r="C45" s="438">
        <v>1.605</v>
      </c>
      <c r="D45" s="106"/>
      <c r="E45" s="875">
        <v>1.5097523239452864</v>
      </c>
      <c r="G45" s="438">
        <v>1.22</v>
      </c>
      <c r="I45" s="875">
        <v>1.5274606661751704</v>
      </c>
      <c r="K45" s="875">
        <v>1.5286926381080317</v>
      </c>
      <c r="M45" s="65"/>
    </row>
    <row r="46" spans="1:17" s="40" customFormat="1" x14ac:dyDescent="0.2">
      <c r="A46" s="131" t="s">
        <v>1140</v>
      </c>
      <c r="B46" s="39"/>
      <c r="C46" s="872">
        <v>12.294</v>
      </c>
      <c r="D46" s="106"/>
      <c r="E46" s="872">
        <v>11.023333333333333</v>
      </c>
      <c r="G46" s="872">
        <v>9.7940000000000005</v>
      </c>
      <c r="I46" s="872">
        <v>10.657083333333334</v>
      </c>
      <c r="K46" s="872">
        <v>9.7391666666666676</v>
      </c>
      <c r="M46" s="873"/>
    </row>
    <row r="47" spans="1:17" s="40" customFormat="1" x14ac:dyDescent="0.2">
      <c r="A47" s="131" t="s">
        <v>1157</v>
      </c>
      <c r="B47" s="39"/>
      <c r="C47" s="839">
        <f>PRODUCT(C44:C46)*12</f>
        <v>556438.73400000005</v>
      </c>
      <c r="D47" s="839"/>
      <c r="E47" s="839">
        <f>PRODUCT(E44:E46)*12</f>
        <v>481001.62510555558</v>
      </c>
      <c r="F47" s="839"/>
      <c r="G47" s="839">
        <f>PRODUCT(G44:G46)*12</f>
        <v>355019.18015999999</v>
      </c>
      <c r="I47" s="839">
        <f t="shared" ref="I47:K47" si="3">PRODUCT(I44:I46)*12</f>
        <v>480237.61741293408</v>
      </c>
      <c r="K47" s="839">
        <f t="shared" si="3"/>
        <v>448856.66810833337</v>
      </c>
      <c r="M47" s="97"/>
    </row>
    <row r="48" spans="1:17" s="40" customFormat="1" x14ac:dyDescent="0.2">
      <c r="A48" s="90"/>
      <c r="B48" s="39"/>
      <c r="C48" s="876"/>
      <c r="D48" s="106"/>
      <c r="E48" s="877"/>
      <c r="G48" s="877"/>
      <c r="I48" s="877"/>
      <c r="M48" s="878"/>
    </row>
    <row r="49" spans="1:22" s="40" customFormat="1" x14ac:dyDescent="0.2">
      <c r="A49" s="90" t="s">
        <v>1158</v>
      </c>
      <c r="B49" s="39"/>
      <c r="C49" s="879"/>
      <c r="D49" s="106"/>
      <c r="E49" s="880"/>
      <c r="G49" s="880"/>
      <c r="I49" s="880"/>
      <c r="M49" s="65"/>
    </row>
    <row r="50" spans="1:22" s="40" customFormat="1" x14ac:dyDescent="0.2">
      <c r="A50" s="131" t="s">
        <v>1159</v>
      </c>
      <c r="B50" s="39"/>
      <c r="C50" s="396">
        <f>SUM(C42,C47)</f>
        <v>3557186.7568798643</v>
      </c>
      <c r="D50" s="106"/>
      <c r="E50" s="396">
        <f>SUM(E42,E47)</f>
        <v>3251020.9999999967</v>
      </c>
      <c r="F50" s="396"/>
      <c r="G50" s="396">
        <f>SUM(G42,G47)</f>
        <v>3028000.0097351512</v>
      </c>
      <c r="I50" s="396">
        <f>SUM(I42,I47)</f>
        <v>3078000.0000000014</v>
      </c>
      <c r="K50" s="396">
        <f>SUM(K42,K47)</f>
        <v>2765000.0000000084</v>
      </c>
      <c r="M50" s="97"/>
    </row>
    <row r="51" spans="1:22" s="40" customFormat="1" x14ac:dyDescent="0.2">
      <c r="A51" s="131" t="s">
        <v>1160</v>
      </c>
      <c r="B51" s="39"/>
      <c r="C51" s="864">
        <v>-100187</v>
      </c>
      <c r="D51" s="106"/>
      <c r="E51" s="864">
        <v>-200021</v>
      </c>
      <c r="G51" s="864">
        <v>-100000</v>
      </c>
      <c r="I51" s="864">
        <v>-150000</v>
      </c>
      <c r="K51" s="864">
        <v>-150000</v>
      </c>
      <c r="M51" s="611"/>
    </row>
    <row r="52" spans="1:22" s="40" customFormat="1" x14ac:dyDescent="0.2">
      <c r="A52" s="131" t="s">
        <v>1152</v>
      </c>
      <c r="B52" s="39"/>
      <c r="C52" s="839">
        <f>C50+C51</f>
        <v>3456999.7568798643</v>
      </c>
      <c r="D52" s="106"/>
      <c r="E52" s="839">
        <f>E50+E51</f>
        <v>3050999.9999999967</v>
      </c>
      <c r="G52" s="839">
        <f>SUM(G50:G51)</f>
        <v>2928000.0097351512</v>
      </c>
      <c r="I52" s="839">
        <f>SUM(I50:I51)</f>
        <v>2928000.0000000014</v>
      </c>
      <c r="K52" s="839">
        <f>SUM(K50:K51)</f>
        <v>2615000.0000000084</v>
      </c>
      <c r="M52" s="97"/>
    </row>
    <row r="53" spans="1:22" s="40" customFormat="1" x14ac:dyDescent="0.2">
      <c r="A53" s="90" t="s">
        <v>1161</v>
      </c>
      <c r="B53" s="39"/>
      <c r="C53" s="864">
        <v>3457000</v>
      </c>
      <c r="D53" s="839"/>
      <c r="E53" s="864">
        <f>E52</f>
        <v>3050999.9999999967</v>
      </c>
      <c r="F53" s="864"/>
      <c r="G53" s="864">
        <f t="shared" ref="G53:K53" si="4">G52</f>
        <v>2928000.0097351512</v>
      </c>
      <c r="H53" s="864">
        <f t="shared" si="4"/>
        <v>0</v>
      </c>
      <c r="I53" s="864">
        <f t="shared" si="4"/>
        <v>2928000.0000000014</v>
      </c>
      <c r="J53" s="864"/>
      <c r="K53" s="864">
        <f t="shared" si="4"/>
        <v>2615000.0000000084</v>
      </c>
      <c r="M53" s="611"/>
      <c r="U53" s="881"/>
    </row>
    <row r="54" spans="1:22" s="40" customFormat="1" x14ac:dyDescent="0.2">
      <c r="A54" s="90"/>
      <c r="B54" s="39"/>
      <c r="C54" s="882"/>
      <c r="D54" s="106"/>
      <c r="E54" s="859"/>
      <c r="G54" s="859"/>
      <c r="I54" s="859"/>
      <c r="M54" s="883"/>
    </row>
    <row r="55" spans="1:22" s="40" customFormat="1" x14ac:dyDescent="0.2">
      <c r="A55" s="35" t="s">
        <v>1162</v>
      </c>
      <c r="B55" s="36"/>
      <c r="C55" s="884"/>
      <c r="D55" s="885"/>
      <c r="E55" s="886"/>
      <c r="F55" s="37"/>
      <c r="G55" s="64"/>
      <c r="I55" s="64"/>
      <c r="M55" s="616"/>
      <c r="N55" s="37"/>
      <c r="O55" s="887"/>
      <c r="P55" s="37"/>
      <c r="Q55" s="37"/>
      <c r="R55" s="37"/>
      <c r="S55" s="37"/>
      <c r="T55" s="37"/>
    </row>
    <row r="56" spans="1:22" s="40" customFormat="1" x14ac:dyDescent="0.2">
      <c r="A56" s="41" t="s">
        <v>1163</v>
      </c>
      <c r="B56" s="39"/>
      <c r="C56" s="827"/>
      <c r="D56" s="106"/>
      <c r="E56" s="106"/>
      <c r="M56" s="63"/>
    </row>
    <row r="57" spans="1:22" s="40" customFormat="1" x14ac:dyDescent="0.2">
      <c r="A57" s="888" t="s">
        <v>1164</v>
      </c>
      <c r="B57" s="889"/>
      <c r="C57" s="890">
        <v>1605994</v>
      </c>
      <c r="D57" s="891"/>
      <c r="E57" s="890">
        <v>1502925</v>
      </c>
      <c r="F57" s="892"/>
      <c r="G57" s="76">
        <v>1606000</v>
      </c>
      <c r="I57" s="76">
        <v>1453000</v>
      </c>
      <c r="K57" s="76">
        <v>1406000</v>
      </c>
      <c r="M57" s="76"/>
      <c r="N57" s="892"/>
      <c r="O57" s="893"/>
      <c r="P57" s="892"/>
      <c r="Q57" s="894"/>
      <c r="R57" s="392"/>
      <c r="S57" s="895"/>
      <c r="T57" s="890"/>
      <c r="U57" s="890"/>
      <c r="V57" s="890"/>
    </row>
    <row r="58" spans="1:22" s="40" customFormat="1" x14ac:dyDescent="0.2">
      <c r="A58" s="896" t="s">
        <v>1165</v>
      </c>
      <c r="B58" s="897"/>
      <c r="C58" s="890">
        <v>3371206</v>
      </c>
      <c r="D58" s="898"/>
      <c r="E58" s="890">
        <v>3225217</v>
      </c>
      <c r="F58" s="899"/>
      <c r="G58" s="112">
        <v>3291000</v>
      </c>
      <c r="H58" s="118"/>
      <c r="I58" s="112">
        <v>3168000</v>
      </c>
      <c r="J58" s="118"/>
      <c r="K58" s="112">
        <v>3112000</v>
      </c>
      <c r="M58" s="112"/>
      <c r="N58" s="899"/>
      <c r="O58" s="893"/>
      <c r="P58" s="899"/>
      <c r="Q58" s="894"/>
      <c r="R58" s="392"/>
      <c r="S58" s="895"/>
      <c r="T58" s="890"/>
      <c r="U58" s="890"/>
      <c r="V58" s="890"/>
    </row>
    <row r="59" spans="1:22" s="40" customFormat="1" x14ac:dyDescent="0.2">
      <c r="A59" s="94" t="s">
        <v>1166</v>
      </c>
      <c r="B59" s="117"/>
      <c r="C59" s="890">
        <v>560823</v>
      </c>
      <c r="D59" s="827"/>
      <c r="E59" s="890">
        <v>498172</v>
      </c>
      <c r="F59" s="118"/>
      <c r="G59" s="112">
        <v>522000</v>
      </c>
      <c r="H59" s="118"/>
      <c r="I59" s="112">
        <v>472000</v>
      </c>
      <c r="J59" s="118"/>
      <c r="K59" s="112">
        <v>449000</v>
      </c>
      <c r="M59" s="112"/>
      <c r="N59" s="118"/>
      <c r="O59" s="893"/>
      <c r="P59" s="118"/>
      <c r="Q59" s="894"/>
      <c r="R59" s="392"/>
      <c r="S59" s="895"/>
      <c r="T59" s="890"/>
      <c r="U59" s="890"/>
      <c r="V59" s="890"/>
    </row>
    <row r="60" spans="1:22" s="40" customFormat="1" x14ac:dyDescent="0.2">
      <c r="A60" s="90" t="s">
        <v>1167</v>
      </c>
      <c r="B60" s="39"/>
      <c r="C60" s="890">
        <v>317815</v>
      </c>
      <c r="D60" s="106"/>
      <c r="E60" s="890">
        <v>291309</v>
      </c>
      <c r="G60" s="76">
        <v>310000</v>
      </c>
      <c r="I60" s="76">
        <v>277000</v>
      </c>
      <c r="K60" s="76">
        <v>264000</v>
      </c>
      <c r="M60" s="76"/>
      <c r="O60" s="893"/>
      <c r="Q60" s="894"/>
      <c r="R60" s="392"/>
      <c r="S60" s="895"/>
      <c r="T60" s="890"/>
      <c r="U60" s="890"/>
      <c r="V60" s="890"/>
    </row>
    <row r="61" spans="1:22" s="40" customFormat="1" x14ac:dyDescent="0.2">
      <c r="A61" s="90" t="s">
        <v>1168</v>
      </c>
      <c r="B61" s="39"/>
      <c r="C61" s="890">
        <v>226880</v>
      </c>
      <c r="D61" s="106"/>
      <c r="E61" s="890">
        <v>184396</v>
      </c>
      <c r="G61" s="76">
        <v>227000</v>
      </c>
      <c r="I61" s="76">
        <v>171000</v>
      </c>
      <c r="K61" s="76">
        <v>159000</v>
      </c>
      <c r="M61" s="76"/>
      <c r="O61" s="893"/>
      <c r="Q61" s="894"/>
      <c r="R61" s="392"/>
      <c r="S61" s="895"/>
      <c r="T61" s="890"/>
      <c r="U61" s="890"/>
      <c r="V61" s="890"/>
    </row>
    <row r="62" spans="1:22" s="40" customFormat="1" x14ac:dyDescent="0.2">
      <c r="A62" s="94" t="s">
        <v>1169</v>
      </c>
      <c r="B62" s="117"/>
      <c r="C62" s="890">
        <v>37751</v>
      </c>
      <c r="D62" s="827"/>
      <c r="E62" s="890">
        <v>36129</v>
      </c>
      <c r="F62" s="118"/>
      <c r="G62" s="112">
        <v>30000</v>
      </c>
      <c r="H62" s="118"/>
      <c r="I62" s="112">
        <v>33000</v>
      </c>
      <c r="J62" s="118"/>
      <c r="K62" s="112">
        <v>30000</v>
      </c>
      <c r="M62" s="112"/>
      <c r="N62" s="118"/>
      <c r="O62" s="893"/>
      <c r="P62" s="118"/>
      <c r="Q62" s="894"/>
      <c r="R62" s="392"/>
      <c r="S62" s="895"/>
      <c r="T62" s="890"/>
      <c r="U62" s="890"/>
      <c r="V62" s="890"/>
    </row>
    <row r="63" spans="1:22" s="40" customFormat="1" x14ac:dyDescent="0.2">
      <c r="A63" s="94" t="s">
        <v>1170</v>
      </c>
      <c r="B63" s="117"/>
      <c r="C63" s="890">
        <v>450743</v>
      </c>
      <c r="D63" s="827"/>
      <c r="E63" s="890">
        <v>404006</v>
      </c>
      <c r="F63" s="118"/>
      <c r="G63" s="112">
        <v>376000</v>
      </c>
      <c r="H63" s="118"/>
      <c r="I63" s="112">
        <v>370000</v>
      </c>
      <c r="J63" s="118"/>
      <c r="K63" s="112">
        <v>340000</v>
      </c>
      <c r="M63" s="112"/>
      <c r="N63" s="118"/>
      <c r="O63" s="893"/>
      <c r="P63" s="118"/>
      <c r="Q63" s="894"/>
      <c r="R63" s="392"/>
      <c r="S63" s="895"/>
      <c r="T63" s="890"/>
      <c r="U63" s="890"/>
      <c r="V63" s="890"/>
    </row>
    <row r="64" spans="1:22" s="40" customFormat="1" x14ac:dyDescent="0.2">
      <c r="A64" s="90" t="s">
        <v>1171</v>
      </c>
      <c r="B64" s="39"/>
      <c r="C64" s="890">
        <v>26012</v>
      </c>
      <c r="D64" s="106"/>
      <c r="E64" s="890">
        <v>26168</v>
      </c>
      <c r="G64" s="76">
        <v>26000</v>
      </c>
      <c r="I64" s="76">
        <v>26000</v>
      </c>
      <c r="K64" s="76">
        <v>26000</v>
      </c>
      <c r="M64" s="76"/>
      <c r="O64" s="893"/>
      <c r="Q64" s="894"/>
      <c r="R64" s="392"/>
      <c r="S64" s="895"/>
      <c r="T64" s="890"/>
      <c r="U64" s="890"/>
      <c r="V64" s="890"/>
    </row>
    <row r="65" spans="1:22" s="40" customFormat="1" x14ac:dyDescent="0.2">
      <c r="A65" s="94" t="s">
        <v>1172</v>
      </c>
      <c r="B65" s="117"/>
      <c r="C65" s="890">
        <v>309804</v>
      </c>
      <c r="D65" s="827"/>
      <c r="E65" s="890">
        <v>276308</v>
      </c>
      <c r="F65" s="118"/>
      <c r="G65" s="112">
        <v>294000</v>
      </c>
      <c r="H65" s="118"/>
      <c r="I65" s="112">
        <v>265000</v>
      </c>
      <c r="J65" s="118"/>
      <c r="K65" s="112">
        <v>255000</v>
      </c>
      <c r="M65" s="112"/>
      <c r="N65" s="118"/>
      <c r="O65" s="893"/>
      <c r="P65" s="118"/>
      <c r="Q65" s="894"/>
      <c r="R65" s="392"/>
      <c r="S65" s="895"/>
      <c r="T65" s="890"/>
      <c r="U65" s="890"/>
      <c r="V65" s="890"/>
    </row>
    <row r="66" spans="1:22" s="40" customFormat="1" x14ac:dyDescent="0.2">
      <c r="A66" s="94" t="s">
        <v>1173</v>
      </c>
      <c r="B66" s="39"/>
      <c r="C66" s="890">
        <v>151222</v>
      </c>
      <c r="D66" s="106"/>
      <c r="E66" s="890">
        <v>171381</v>
      </c>
      <c r="G66" s="76">
        <v>151000</v>
      </c>
      <c r="I66" s="76">
        <v>189000</v>
      </c>
      <c r="K66" s="76">
        <v>209000</v>
      </c>
      <c r="M66" s="76"/>
      <c r="O66" s="893"/>
      <c r="Q66" s="894"/>
      <c r="R66" s="392"/>
      <c r="S66" s="895"/>
      <c r="T66" s="890"/>
      <c r="U66" s="890"/>
      <c r="V66" s="890"/>
    </row>
    <row r="67" spans="1:22" s="37" customFormat="1" x14ac:dyDescent="0.2">
      <c r="A67" s="94" t="s">
        <v>1174</v>
      </c>
      <c r="B67" s="117"/>
      <c r="C67" s="890">
        <v>97310</v>
      </c>
      <c r="D67" s="827"/>
      <c r="E67" s="890">
        <v>102594</v>
      </c>
      <c r="F67" s="118"/>
      <c r="G67" s="112">
        <v>91000</v>
      </c>
      <c r="H67" s="141"/>
      <c r="I67" s="112">
        <v>101000</v>
      </c>
      <c r="J67" s="141"/>
      <c r="K67" s="112">
        <v>99000</v>
      </c>
      <c r="M67" s="112"/>
      <c r="N67" s="118"/>
      <c r="O67" s="893"/>
      <c r="P67" s="118"/>
      <c r="Q67" s="894"/>
      <c r="R67" s="392"/>
      <c r="S67" s="895"/>
      <c r="T67" s="890"/>
      <c r="U67" s="890"/>
      <c r="V67" s="890"/>
    </row>
    <row r="68" spans="1:22" s="40" customFormat="1" x14ac:dyDescent="0.2">
      <c r="A68" s="94" t="s">
        <v>1175</v>
      </c>
      <c r="B68" s="39"/>
      <c r="C68" s="890">
        <v>181021</v>
      </c>
      <c r="D68" s="106"/>
      <c r="E68" s="890">
        <v>195199</v>
      </c>
      <c r="G68" s="76">
        <v>181000</v>
      </c>
      <c r="I68" s="76">
        <v>206000</v>
      </c>
      <c r="K68" s="76">
        <v>218000</v>
      </c>
      <c r="M68" s="76"/>
      <c r="O68" s="893"/>
      <c r="Q68" s="894"/>
      <c r="R68" s="392"/>
      <c r="S68" s="895"/>
      <c r="T68" s="890"/>
      <c r="U68" s="890"/>
      <c r="V68" s="890"/>
    </row>
    <row r="69" spans="1:22" s="892" customFormat="1" x14ac:dyDescent="0.2">
      <c r="A69" s="124" t="s">
        <v>1176</v>
      </c>
      <c r="B69" s="39"/>
      <c r="C69" s="900"/>
      <c r="D69" s="106"/>
      <c r="E69" s="900"/>
      <c r="F69" s="40"/>
      <c r="G69" s="901"/>
      <c r="I69" s="901"/>
      <c r="K69" s="901"/>
      <c r="M69" s="63"/>
      <c r="N69" s="40"/>
      <c r="O69" s="827"/>
      <c r="P69" s="40"/>
      <c r="Q69" s="827"/>
      <c r="R69" s="827"/>
      <c r="S69" s="900"/>
      <c r="T69" s="900"/>
      <c r="U69" s="900"/>
      <c r="V69" s="900"/>
    </row>
    <row r="70" spans="1:22" s="892" customFormat="1" x14ac:dyDescent="0.2">
      <c r="A70" s="896" t="s">
        <v>1177</v>
      </c>
      <c r="B70" s="889"/>
      <c r="C70" s="890">
        <v>2644</v>
      </c>
      <c r="D70" s="891"/>
      <c r="E70" s="890">
        <v>2405</v>
      </c>
      <c r="G70" s="76">
        <v>2600</v>
      </c>
      <c r="I70" s="76">
        <v>2200</v>
      </c>
      <c r="K70" s="76">
        <v>2300</v>
      </c>
      <c r="M70" s="76"/>
      <c r="O70" s="893"/>
      <c r="Q70" s="894"/>
      <c r="R70" s="898"/>
      <c r="S70" s="895"/>
      <c r="T70" s="890"/>
      <c r="U70" s="890"/>
      <c r="V70" s="890"/>
    </row>
    <row r="71" spans="1:22" s="40" customFormat="1" x14ac:dyDescent="0.2">
      <c r="A71" s="94" t="s">
        <v>1178</v>
      </c>
      <c r="B71" s="39"/>
      <c r="C71" s="890">
        <v>69</v>
      </c>
      <c r="D71" s="106"/>
      <c r="E71" s="890">
        <v>68</v>
      </c>
      <c r="G71" s="76">
        <v>69</v>
      </c>
      <c r="I71" s="76">
        <v>62</v>
      </c>
      <c r="K71" s="76">
        <v>64</v>
      </c>
      <c r="M71" s="76"/>
      <c r="O71" s="893"/>
      <c r="Q71" s="894"/>
      <c r="R71" s="827"/>
      <c r="S71" s="895"/>
      <c r="T71" s="890"/>
      <c r="U71" s="890"/>
      <c r="V71" s="890"/>
    </row>
    <row r="72" spans="1:22" s="40" customFormat="1" x14ac:dyDescent="0.2">
      <c r="A72" s="124" t="s">
        <v>1179</v>
      </c>
      <c r="B72" s="39"/>
      <c r="C72" s="827"/>
      <c r="D72" s="106"/>
      <c r="E72" s="106"/>
      <c r="G72" s="63"/>
      <c r="I72" s="63"/>
      <c r="M72" s="63"/>
      <c r="O72" s="893"/>
      <c r="Q72" s="894"/>
      <c r="R72" s="827"/>
      <c r="S72" s="902"/>
      <c r="T72" s="827"/>
      <c r="U72" s="827"/>
      <c r="V72" s="827"/>
    </row>
    <row r="73" spans="1:22" s="40" customFormat="1" x14ac:dyDescent="0.2">
      <c r="A73" s="94" t="s">
        <v>1177</v>
      </c>
      <c r="B73" s="39"/>
      <c r="C73" s="392">
        <v>8886</v>
      </c>
      <c r="D73" s="106"/>
      <c r="E73" s="392">
        <v>9340</v>
      </c>
      <c r="G73" s="76">
        <v>9820</v>
      </c>
      <c r="I73" s="76">
        <v>9820</v>
      </c>
      <c r="K73" s="76">
        <v>10324</v>
      </c>
      <c r="M73" s="76"/>
      <c r="O73" s="893"/>
      <c r="Q73" s="894"/>
      <c r="R73" s="827"/>
      <c r="S73" s="392"/>
      <c r="T73" s="392"/>
      <c r="U73" s="392"/>
      <c r="V73" s="392"/>
    </row>
    <row r="74" spans="1:22" s="40" customFormat="1" x14ac:dyDescent="0.2">
      <c r="A74" s="124" t="s">
        <v>1180</v>
      </c>
      <c r="B74" s="39"/>
      <c r="C74" s="827"/>
      <c r="D74" s="106"/>
      <c r="E74" s="106"/>
      <c r="G74" s="63"/>
      <c r="I74" s="63"/>
      <c r="K74" s="76"/>
      <c r="M74" s="63"/>
      <c r="O74" s="893"/>
      <c r="Q74" s="894"/>
      <c r="R74" s="827"/>
      <c r="S74" s="902"/>
      <c r="T74" s="827"/>
      <c r="U74" s="827"/>
      <c r="V74" s="827"/>
    </row>
    <row r="75" spans="1:22" s="40" customFormat="1" x14ac:dyDescent="0.2">
      <c r="A75" s="94" t="s">
        <v>989</v>
      </c>
      <c r="B75" s="39"/>
      <c r="C75" s="392">
        <v>80588</v>
      </c>
      <c r="D75" s="106"/>
      <c r="E75" s="392">
        <v>81855</v>
      </c>
      <c r="G75" s="76">
        <v>86660</v>
      </c>
      <c r="I75" s="76">
        <v>85130</v>
      </c>
      <c r="K75" s="76">
        <v>88534</v>
      </c>
      <c r="M75" s="76"/>
      <c r="O75" s="893"/>
      <c r="Q75" s="894"/>
      <c r="R75" s="827"/>
      <c r="S75" s="392"/>
      <c r="T75" s="392"/>
      <c r="U75" s="392"/>
      <c r="V75" s="392"/>
    </row>
    <row r="76" spans="1:22" s="40" customFormat="1" x14ac:dyDescent="0.2">
      <c r="A76" s="124" t="s">
        <v>1181</v>
      </c>
      <c r="B76" s="39"/>
      <c r="C76" s="827"/>
      <c r="D76" s="106"/>
      <c r="E76" s="106"/>
      <c r="G76" s="63"/>
      <c r="I76" s="63"/>
      <c r="M76" s="63"/>
      <c r="O76" s="893"/>
      <c r="Q76" s="827"/>
      <c r="R76" s="827"/>
      <c r="S76" s="902"/>
      <c r="T76" s="827"/>
      <c r="U76" s="827"/>
      <c r="V76" s="827"/>
    </row>
    <row r="77" spans="1:22" s="40" customFormat="1" x14ac:dyDescent="0.2">
      <c r="A77" s="94" t="s">
        <v>989</v>
      </c>
      <c r="B77" s="39"/>
      <c r="C77" s="392">
        <v>4289</v>
      </c>
      <c r="D77" s="106"/>
      <c r="E77" s="392">
        <v>4332</v>
      </c>
      <c r="G77" s="76">
        <v>4300</v>
      </c>
      <c r="I77" s="76">
        <v>4700</v>
      </c>
      <c r="K77" s="76">
        <v>5100</v>
      </c>
      <c r="M77" s="76"/>
      <c r="O77" s="893"/>
      <c r="Q77" s="894"/>
      <c r="R77" s="827"/>
      <c r="S77" s="392"/>
      <c r="T77" s="392"/>
      <c r="U77" s="392"/>
      <c r="V77" s="392"/>
    </row>
    <row r="78" spans="1:22" s="40" customFormat="1" x14ac:dyDescent="0.2">
      <c r="A78" s="124" t="s">
        <v>1182</v>
      </c>
      <c r="B78" s="39"/>
      <c r="C78" s="827"/>
      <c r="D78" s="106"/>
      <c r="E78" s="106"/>
      <c r="G78" s="63"/>
      <c r="I78" s="63"/>
      <c r="K78" s="63"/>
      <c r="M78" s="63"/>
      <c r="O78" s="893"/>
      <c r="Q78" s="827"/>
      <c r="R78" s="827"/>
      <c r="S78" s="902"/>
      <c r="T78" s="827"/>
      <c r="U78" s="827"/>
      <c r="V78" s="827"/>
    </row>
    <row r="79" spans="1:22" s="40" customFormat="1" x14ac:dyDescent="0.2">
      <c r="A79" s="94" t="s">
        <v>1183</v>
      </c>
      <c r="B79" s="39"/>
      <c r="C79" s="392">
        <v>3808</v>
      </c>
      <c r="D79" s="106"/>
      <c r="E79" s="392">
        <v>3884</v>
      </c>
      <c r="G79" s="76">
        <v>3800</v>
      </c>
      <c r="I79" s="76">
        <v>3800</v>
      </c>
      <c r="K79" s="76">
        <v>3800</v>
      </c>
      <c r="M79" s="76"/>
      <c r="O79" s="893"/>
      <c r="Q79" s="894"/>
      <c r="R79" s="827"/>
      <c r="S79" s="392"/>
      <c r="T79" s="392"/>
      <c r="U79" s="392"/>
      <c r="V79" s="392"/>
    </row>
    <row r="80" spans="1:22" s="40" customFormat="1" x14ac:dyDescent="0.2">
      <c r="A80" s="94" t="s">
        <v>1184</v>
      </c>
      <c r="B80" s="117"/>
      <c r="C80" s="392">
        <v>45044</v>
      </c>
      <c r="D80" s="827"/>
      <c r="E80" s="392">
        <v>31370</v>
      </c>
      <c r="F80" s="118"/>
      <c r="G80" s="112">
        <v>46000</v>
      </c>
      <c r="H80" s="118"/>
      <c r="I80" s="112">
        <v>38000</v>
      </c>
      <c r="J80" s="118"/>
      <c r="K80" s="112">
        <v>40000</v>
      </c>
      <c r="M80" s="112"/>
      <c r="N80" s="118"/>
      <c r="O80" s="893"/>
      <c r="P80" s="118"/>
      <c r="Q80" s="894"/>
      <c r="R80" s="827"/>
      <c r="S80" s="392"/>
      <c r="T80" s="392"/>
      <c r="U80" s="392"/>
      <c r="V80" s="392"/>
    </row>
    <row r="81" spans="1:22" s="40" customFormat="1" x14ac:dyDescent="0.2">
      <c r="A81" s="90" t="s">
        <v>1185</v>
      </c>
      <c r="B81" s="39"/>
      <c r="C81" s="392">
        <v>3524</v>
      </c>
      <c r="D81" s="106"/>
      <c r="E81" s="392">
        <v>3613</v>
      </c>
      <c r="G81" s="76">
        <v>3500</v>
      </c>
      <c r="I81" s="76">
        <v>3500</v>
      </c>
      <c r="K81" s="76">
        <v>3500</v>
      </c>
      <c r="M81" s="76"/>
      <c r="O81" s="893"/>
      <c r="Q81" s="894"/>
      <c r="R81" s="827"/>
      <c r="S81" s="392"/>
      <c r="T81" s="392"/>
      <c r="U81" s="392"/>
      <c r="V81" s="392"/>
    </row>
    <row r="82" spans="1:22" s="892" customFormat="1" x14ac:dyDescent="0.2">
      <c r="A82" s="94" t="s">
        <v>1186</v>
      </c>
      <c r="B82" s="117"/>
      <c r="C82" s="392">
        <v>2107</v>
      </c>
      <c r="D82" s="827"/>
      <c r="E82" s="392">
        <v>1813</v>
      </c>
      <c r="F82" s="118"/>
      <c r="G82" s="112">
        <v>2250</v>
      </c>
      <c r="H82" s="899"/>
      <c r="I82" s="112">
        <v>2100</v>
      </c>
      <c r="J82" s="899"/>
      <c r="K82" s="112">
        <v>2200</v>
      </c>
      <c r="M82" s="112"/>
      <c r="N82" s="118"/>
      <c r="O82" s="893"/>
      <c r="P82" s="118"/>
      <c r="Q82" s="894"/>
      <c r="R82" s="827"/>
      <c r="S82" s="392"/>
      <c r="T82" s="392"/>
      <c r="U82" s="392"/>
      <c r="V82" s="392"/>
    </row>
    <row r="83" spans="1:22" s="40" customFormat="1" x14ac:dyDescent="0.2">
      <c r="A83" s="94" t="s">
        <v>1187</v>
      </c>
      <c r="B83" s="117"/>
      <c r="C83" s="392">
        <v>3900</v>
      </c>
      <c r="D83" s="827"/>
      <c r="E83" s="392">
        <v>3420</v>
      </c>
      <c r="F83" s="118"/>
      <c r="G83" s="112">
        <v>3200</v>
      </c>
      <c r="H83" s="118"/>
      <c r="I83" s="112">
        <v>3200</v>
      </c>
      <c r="J83" s="118"/>
      <c r="K83" s="112">
        <v>3200</v>
      </c>
      <c r="M83" s="112"/>
      <c r="N83" s="118"/>
      <c r="O83" s="826"/>
      <c r="P83" s="118"/>
      <c r="Q83" s="894"/>
      <c r="R83" s="827"/>
      <c r="S83" s="392"/>
      <c r="T83" s="392"/>
      <c r="U83" s="392"/>
      <c r="V83" s="392"/>
    </row>
    <row r="84" spans="1:22" s="40" customFormat="1" x14ac:dyDescent="0.2">
      <c r="A84" s="35" t="s">
        <v>1188</v>
      </c>
      <c r="B84" s="36"/>
      <c r="C84" s="903"/>
      <c r="D84" s="885"/>
      <c r="E84" s="885"/>
      <c r="F84" s="37"/>
      <c r="G84" s="63"/>
      <c r="I84" s="63"/>
      <c r="M84" s="87"/>
      <c r="N84" s="37"/>
      <c r="O84" s="827"/>
      <c r="P84" s="37"/>
      <c r="Q84" s="904"/>
      <c r="R84" s="826"/>
      <c r="S84" s="905"/>
      <c r="T84" s="903"/>
      <c r="U84" s="903"/>
      <c r="V84" s="903"/>
    </row>
    <row r="85" spans="1:22" s="40" customFormat="1" x14ac:dyDescent="0.2">
      <c r="A85" s="41" t="s">
        <v>1189</v>
      </c>
      <c r="B85" s="39"/>
      <c r="C85" s="392">
        <v>12250</v>
      </c>
      <c r="D85" s="104"/>
      <c r="E85" s="392">
        <v>14550</v>
      </c>
      <c r="F85" s="77"/>
      <c r="G85" s="392">
        <v>17440</v>
      </c>
      <c r="H85" s="77"/>
      <c r="I85" s="392">
        <v>17281</v>
      </c>
      <c r="J85" s="77"/>
      <c r="K85" s="392">
        <v>20550</v>
      </c>
      <c r="M85" s="65"/>
      <c r="O85" s="893"/>
      <c r="Q85" s="894"/>
      <c r="R85" s="392"/>
      <c r="S85" s="392"/>
      <c r="T85" s="392"/>
      <c r="U85" s="392"/>
      <c r="V85" s="392"/>
    </row>
    <row r="86" spans="1:22" s="40" customFormat="1" x14ac:dyDescent="0.2">
      <c r="A86" s="41" t="s">
        <v>1190</v>
      </c>
      <c r="B86" s="39"/>
      <c r="C86" s="392">
        <v>5857</v>
      </c>
      <c r="D86" s="106"/>
      <c r="E86" s="392">
        <v>6457</v>
      </c>
      <c r="G86" s="392">
        <v>7449</v>
      </c>
      <c r="I86" s="392">
        <v>6787</v>
      </c>
      <c r="K86" s="392">
        <v>7137</v>
      </c>
      <c r="M86" s="76"/>
      <c r="O86" s="893"/>
      <c r="Q86" s="894"/>
      <c r="R86" s="392"/>
      <c r="S86" s="392"/>
      <c r="T86" s="392"/>
      <c r="U86" s="392"/>
      <c r="V86" s="392"/>
    </row>
    <row r="87" spans="1:22" s="40" customFormat="1" x14ac:dyDescent="0.2">
      <c r="A87" s="41" t="s">
        <v>1191</v>
      </c>
      <c r="B87" s="39"/>
      <c r="C87" s="392">
        <v>464</v>
      </c>
      <c r="D87" s="106"/>
      <c r="E87" s="392">
        <v>504</v>
      </c>
      <c r="G87" s="392">
        <v>548</v>
      </c>
      <c r="I87" s="392">
        <v>548</v>
      </c>
      <c r="K87" s="392">
        <v>595</v>
      </c>
      <c r="M87" s="76"/>
      <c r="O87" s="893"/>
      <c r="Q87" s="894"/>
      <c r="R87" s="392"/>
      <c r="S87" s="392"/>
      <c r="T87" s="392"/>
      <c r="U87" s="392"/>
      <c r="V87" s="392"/>
    </row>
    <row r="88" spans="1:22" s="40" customFormat="1" x14ac:dyDescent="0.2">
      <c r="A88" s="41"/>
      <c r="B88" s="39"/>
      <c r="C88" s="903"/>
      <c r="D88" s="63"/>
      <c r="E88" s="63"/>
      <c r="M88" s="63"/>
    </row>
    <row r="89" spans="1:22" s="40" customFormat="1" x14ac:dyDescent="0.2">
      <c r="A89" s="35" t="s">
        <v>194</v>
      </c>
      <c r="B89" s="36"/>
      <c r="C89" s="826"/>
      <c r="D89" s="87"/>
      <c r="E89" s="87"/>
      <c r="F89" s="37"/>
      <c r="M89" s="87"/>
      <c r="N89" s="37"/>
      <c r="O89" s="37"/>
      <c r="P89" s="37"/>
      <c r="Q89" s="37"/>
      <c r="R89" s="37"/>
      <c r="S89" s="37"/>
      <c r="T89" s="37"/>
    </row>
    <row r="90" spans="1:22" s="40" customFormat="1" x14ac:dyDescent="0.2">
      <c r="A90" s="35" t="s">
        <v>195</v>
      </c>
      <c r="B90" s="36"/>
      <c r="C90" s="826"/>
      <c r="D90" s="87"/>
      <c r="E90" s="87"/>
      <c r="F90" s="37"/>
      <c r="M90" s="87"/>
      <c r="N90" s="37"/>
      <c r="O90" s="37"/>
      <c r="P90" s="37"/>
      <c r="Q90" s="37"/>
      <c r="R90" s="37"/>
      <c r="S90" s="37"/>
      <c r="T90" s="37"/>
    </row>
    <row r="91" spans="1:22" s="40" customFormat="1" x14ac:dyDescent="0.2">
      <c r="A91" s="38" t="s">
        <v>196</v>
      </c>
      <c r="B91" s="39"/>
      <c r="C91" s="827"/>
      <c r="D91" s="63"/>
      <c r="E91" s="63"/>
      <c r="M91" s="63"/>
    </row>
    <row r="92" spans="1:22" s="40" customFormat="1" x14ac:dyDescent="0.2">
      <c r="A92" s="41" t="s">
        <v>197</v>
      </c>
      <c r="B92" s="39"/>
      <c r="C92" s="392">
        <v>191</v>
      </c>
      <c r="D92" s="63"/>
      <c r="E92" s="76">
        <v>206</v>
      </c>
      <c r="G92" s="76">
        <v>206</v>
      </c>
      <c r="I92" s="76">
        <v>192</v>
      </c>
      <c r="K92" s="76">
        <v>194</v>
      </c>
      <c r="M92" s="76"/>
    </row>
    <row r="93" spans="1:22" s="40" customFormat="1" x14ac:dyDescent="0.2">
      <c r="A93" s="41" t="s">
        <v>261</v>
      </c>
      <c r="B93" s="39"/>
      <c r="C93" s="392">
        <v>89</v>
      </c>
      <c r="D93" s="76"/>
      <c r="E93" s="76">
        <v>85</v>
      </c>
      <c r="F93" s="77"/>
      <c r="G93" s="76">
        <v>84</v>
      </c>
      <c r="H93" s="77"/>
      <c r="I93" s="76">
        <v>84</v>
      </c>
      <c r="J93" s="77"/>
      <c r="K93" s="76">
        <v>88</v>
      </c>
      <c r="M93" s="76"/>
    </row>
    <row r="94" spans="1:22" s="40" customFormat="1" x14ac:dyDescent="0.2">
      <c r="A94" s="41" t="s">
        <v>262</v>
      </c>
      <c r="B94" s="39"/>
      <c r="C94" s="392">
        <v>20</v>
      </c>
      <c r="D94" s="76"/>
      <c r="E94" s="76">
        <v>22</v>
      </c>
      <c r="F94" s="77"/>
      <c r="G94" s="76">
        <v>22</v>
      </c>
      <c r="H94" s="77"/>
      <c r="I94" s="76">
        <v>19</v>
      </c>
      <c r="J94" s="77"/>
      <c r="K94" s="76">
        <v>44</v>
      </c>
      <c r="M94" s="76"/>
    </row>
    <row r="95" spans="1:22" s="40" customFormat="1" x14ac:dyDescent="0.2">
      <c r="A95" s="41" t="s">
        <v>198</v>
      </c>
      <c r="B95" s="39"/>
      <c r="C95" s="392">
        <f>SUM(C92:C94)</f>
        <v>300</v>
      </c>
      <c r="D95" s="63"/>
      <c r="E95" s="76">
        <f>SUM(E92:E94)</f>
        <v>313</v>
      </c>
      <c r="G95" s="76">
        <f>SUM(G92:G94)</f>
        <v>312</v>
      </c>
      <c r="I95" s="76">
        <f>SUM(I92:I94)</f>
        <v>295</v>
      </c>
      <c r="J95" s="76"/>
      <c r="K95" s="76">
        <f t="shared" ref="K95" si="5">SUM(K92:K94)</f>
        <v>326</v>
      </c>
      <c r="M95" s="76"/>
    </row>
    <row r="96" spans="1:22" s="37" customFormat="1" x14ac:dyDescent="0.2">
      <c r="A96" s="38" t="s">
        <v>199</v>
      </c>
      <c r="B96" s="39"/>
      <c r="C96" s="827"/>
      <c r="D96" s="63"/>
      <c r="E96" s="63"/>
      <c r="F96" s="40"/>
      <c r="G96" s="63"/>
      <c r="I96" s="63"/>
      <c r="M96" s="63"/>
      <c r="N96" s="40"/>
      <c r="O96" s="40"/>
      <c r="P96" s="40"/>
      <c r="Q96" s="40"/>
      <c r="R96" s="40"/>
      <c r="S96" s="40"/>
      <c r="T96" s="40"/>
    </row>
    <row r="97" spans="1:20" s="40" customFormat="1" x14ac:dyDescent="0.2">
      <c r="A97" s="906" t="s">
        <v>1192</v>
      </c>
      <c r="B97" s="39"/>
      <c r="C97" s="392">
        <f>65+72</f>
        <v>137</v>
      </c>
      <c r="D97" s="63"/>
      <c r="E97" s="76">
        <v>135</v>
      </c>
      <c r="G97" s="76">
        <v>135</v>
      </c>
      <c r="I97" s="76">
        <f>63+68</f>
        <v>131</v>
      </c>
      <c r="K97" s="76">
        <v>137</v>
      </c>
      <c r="M97" s="76"/>
    </row>
    <row r="98" spans="1:20" s="40" customFormat="1" x14ac:dyDescent="0.2">
      <c r="A98" s="906" t="s">
        <v>1193</v>
      </c>
      <c r="B98" s="889"/>
      <c r="C98" s="392">
        <f>96</f>
        <v>96</v>
      </c>
      <c r="D98" s="901"/>
      <c r="E98" s="76">
        <v>106</v>
      </c>
      <c r="F98" s="892"/>
      <c r="G98" s="76">
        <v>106</v>
      </c>
      <c r="I98" s="76">
        <v>95</v>
      </c>
      <c r="K98" s="76">
        <v>94</v>
      </c>
      <c r="M98" s="76"/>
      <c r="N98" s="892"/>
      <c r="O98" s="892"/>
      <c r="P98" s="892"/>
      <c r="Q98" s="892"/>
      <c r="R98" s="892"/>
      <c r="S98" s="892"/>
      <c r="T98" s="892"/>
    </row>
    <row r="99" spans="1:20" s="40" customFormat="1" x14ac:dyDescent="0.2">
      <c r="A99" s="41" t="s">
        <v>1194</v>
      </c>
      <c r="B99" s="39"/>
      <c r="C99" s="392">
        <f>6</f>
        <v>6</v>
      </c>
      <c r="D99" s="63"/>
      <c r="E99" s="76">
        <v>9</v>
      </c>
      <c r="G99" s="76">
        <v>9</v>
      </c>
      <c r="I99" s="76">
        <v>11</v>
      </c>
      <c r="K99" s="76">
        <v>10</v>
      </c>
      <c r="M99" s="76"/>
    </row>
    <row r="100" spans="1:20" s="40" customFormat="1" x14ac:dyDescent="0.2">
      <c r="A100" s="41" t="s">
        <v>1195</v>
      </c>
      <c r="B100" s="39"/>
      <c r="C100" s="392">
        <f>8+17+3</f>
        <v>28</v>
      </c>
      <c r="D100" s="63"/>
      <c r="E100" s="76">
        <v>27</v>
      </c>
      <c r="G100" s="76">
        <v>27</v>
      </c>
      <c r="I100" s="76">
        <f>4+16+3</f>
        <v>23</v>
      </c>
      <c r="K100" s="76">
        <v>28</v>
      </c>
      <c r="M100" s="76"/>
    </row>
    <row r="101" spans="1:20" s="37" customFormat="1" x14ac:dyDescent="0.2">
      <c r="A101" s="41" t="s">
        <v>1196</v>
      </c>
      <c r="B101" s="39"/>
      <c r="C101" s="392">
        <f>16+17</f>
        <v>33</v>
      </c>
      <c r="D101" s="63"/>
      <c r="E101" s="76">
        <v>36</v>
      </c>
      <c r="F101" s="40"/>
      <c r="G101" s="76">
        <v>35</v>
      </c>
      <c r="I101" s="76">
        <f>19+16</f>
        <v>35</v>
      </c>
      <c r="K101" s="88">
        <v>57</v>
      </c>
      <c r="M101" s="76"/>
      <c r="N101" s="40"/>
      <c r="O101" s="40"/>
      <c r="P101" s="40"/>
      <c r="Q101" s="40"/>
      <c r="R101" s="40"/>
      <c r="S101" s="40"/>
      <c r="T101" s="40"/>
    </row>
    <row r="102" spans="1:20" s="37" customFormat="1" x14ac:dyDescent="0.2">
      <c r="A102" s="41" t="s">
        <v>198</v>
      </c>
      <c r="B102" s="39"/>
      <c r="C102" s="392">
        <f>SUM(C97:C101)</f>
        <v>300</v>
      </c>
      <c r="D102" s="63"/>
      <c r="E102" s="76">
        <f>SUM(E97:E101)</f>
        <v>313</v>
      </c>
      <c r="F102" s="40"/>
      <c r="G102" s="76">
        <f>SUM(G97:G101)</f>
        <v>312</v>
      </c>
      <c r="I102" s="76">
        <f>SUM(I97:I101)</f>
        <v>295</v>
      </c>
      <c r="K102" s="76">
        <f>SUM(K97:K101)</f>
        <v>326</v>
      </c>
      <c r="M102" s="76"/>
      <c r="N102" s="40"/>
      <c r="O102" s="40"/>
      <c r="P102" s="40"/>
      <c r="Q102" s="40"/>
      <c r="R102" s="40"/>
      <c r="S102" s="40"/>
      <c r="T102" s="40"/>
    </row>
    <row r="103" spans="1:20" s="40" customFormat="1" x14ac:dyDescent="0.2">
      <c r="A103" s="35"/>
      <c r="B103" s="36"/>
      <c r="C103" s="37"/>
      <c r="D103" s="37"/>
      <c r="E103" s="37"/>
      <c r="F103" s="37"/>
      <c r="M103" s="87"/>
      <c r="N103" s="37"/>
      <c r="O103" s="37"/>
      <c r="P103" s="37"/>
      <c r="Q103" s="37"/>
      <c r="R103" s="37"/>
      <c r="S103" s="37"/>
      <c r="T103" s="37"/>
    </row>
    <row r="104" spans="1:20" s="40" customFormat="1" x14ac:dyDescent="0.2">
      <c r="A104" s="46"/>
      <c r="B104" s="47"/>
      <c r="C104" s="48"/>
      <c r="D104" s="48"/>
      <c r="E104" s="48"/>
      <c r="F104" s="48"/>
      <c r="M104" s="48"/>
      <c r="N104" s="48"/>
      <c r="O104" s="48"/>
      <c r="P104" s="48"/>
      <c r="Q104" s="48"/>
      <c r="R104" s="48"/>
      <c r="S104" s="48"/>
      <c r="T104" s="48"/>
    </row>
    <row r="105" spans="1:20" s="40" customFormat="1" x14ac:dyDescent="0.2">
      <c r="A105" s="49" t="s">
        <v>200</v>
      </c>
      <c r="B105" s="50"/>
      <c r="C105" s="51"/>
      <c r="D105" s="52"/>
      <c r="E105" s="53"/>
      <c r="F105" s="52"/>
      <c r="G105" s="53"/>
      <c r="H105" s="52"/>
      <c r="I105" s="53"/>
      <c r="J105" s="52"/>
      <c r="K105" s="53"/>
      <c r="L105" s="52"/>
      <c r="M105" s="51"/>
      <c r="N105" s="52"/>
      <c r="O105" s="48"/>
      <c r="P105" s="48"/>
      <c r="Q105" s="48"/>
      <c r="R105" s="48"/>
      <c r="S105" s="48"/>
      <c r="T105" s="48"/>
    </row>
    <row r="106" spans="1:20" s="40" customFormat="1" x14ac:dyDescent="0.2">
      <c r="A106" s="143"/>
      <c r="B106" s="50"/>
      <c r="C106" s="51"/>
      <c r="D106" s="52"/>
      <c r="E106" s="53"/>
      <c r="F106" s="52"/>
      <c r="G106" s="53"/>
      <c r="H106" s="52"/>
      <c r="I106" s="53"/>
      <c r="J106" s="52"/>
      <c r="K106" s="53"/>
      <c r="L106" s="52"/>
      <c r="M106" s="51"/>
      <c r="N106" s="52"/>
      <c r="O106" s="48"/>
      <c r="P106" s="48"/>
      <c r="Q106" s="48"/>
      <c r="R106" s="48"/>
      <c r="S106" s="48"/>
      <c r="T106" s="48"/>
    </row>
    <row r="107" spans="1:20" s="40" customFormat="1" ht="30.75" customHeight="1" x14ac:dyDescent="0.2">
      <c r="A107" s="1738" t="s">
        <v>524</v>
      </c>
      <c r="B107" s="1738"/>
      <c r="C107" s="1738"/>
      <c r="D107" s="1738"/>
      <c r="E107" s="1738"/>
      <c r="F107" s="1738"/>
      <c r="G107" s="1738"/>
      <c r="H107" s="1738"/>
      <c r="I107" s="1738"/>
      <c r="J107" s="1738"/>
      <c r="K107" s="1738"/>
      <c r="L107" s="1738"/>
      <c r="M107" s="1738"/>
      <c r="N107" s="1738"/>
      <c r="O107" s="54"/>
      <c r="P107" s="54"/>
      <c r="Q107" s="951"/>
      <c r="R107" s="29"/>
      <c r="S107" s="29"/>
      <c r="T107" s="29"/>
    </row>
    <row r="108" spans="1:20" s="40" customFormat="1" x14ac:dyDescent="0.2">
      <c r="A108" s="1738" t="s">
        <v>1197</v>
      </c>
      <c r="B108" s="1738"/>
      <c r="C108" s="1738"/>
      <c r="D108" s="1738"/>
      <c r="E108" s="1738"/>
      <c r="F108" s="1738"/>
      <c r="G108" s="1738"/>
      <c r="H108" s="1738"/>
      <c r="I108" s="1738"/>
      <c r="J108" s="1738"/>
      <c r="K108" s="1738"/>
      <c r="L108" s="1738"/>
      <c r="M108" s="1738"/>
      <c r="N108" s="1738"/>
      <c r="O108" s="54"/>
      <c r="P108" s="54"/>
      <c r="Q108" s="29"/>
      <c r="R108" s="29"/>
      <c r="S108" s="29"/>
      <c r="T108" s="29"/>
    </row>
    <row r="109" spans="1:20" s="40" customFormat="1" x14ac:dyDescent="0.2">
      <c r="A109" s="1738"/>
      <c r="B109" s="1738"/>
      <c r="C109" s="1738"/>
      <c r="D109" s="1738"/>
      <c r="E109" s="1738"/>
      <c r="F109" s="1738"/>
      <c r="G109" s="1738"/>
      <c r="H109" s="1738"/>
      <c r="I109" s="1738"/>
      <c r="J109" s="1738"/>
      <c r="K109" s="1738"/>
      <c r="L109" s="1738"/>
      <c r="M109" s="1738"/>
      <c r="N109" s="1738"/>
      <c r="O109" s="54"/>
      <c r="P109" s="54"/>
      <c r="Q109" s="29"/>
      <c r="R109" s="29"/>
      <c r="S109" s="29"/>
      <c r="T109" s="29"/>
    </row>
    <row r="110" spans="1:20" s="40" customFormat="1" x14ac:dyDescent="0.2">
      <c r="A110" s="55"/>
      <c r="B110" s="54"/>
      <c r="C110" s="54"/>
      <c r="D110" s="54"/>
      <c r="E110" s="54"/>
      <c r="F110" s="54"/>
      <c r="G110" s="54"/>
      <c r="H110" s="54"/>
      <c r="I110" s="54"/>
      <c r="J110" s="54"/>
      <c r="K110" s="54"/>
      <c r="L110" s="54"/>
      <c r="M110" s="54"/>
      <c r="N110" s="54"/>
      <c r="O110" s="54"/>
      <c r="P110" s="54"/>
      <c r="Q110" s="29"/>
      <c r="R110" s="29"/>
      <c r="S110" s="29"/>
      <c r="T110" s="29"/>
    </row>
    <row r="111" spans="1:20" s="40" customFormat="1" x14ac:dyDescent="0.2">
      <c r="A111" s="55"/>
      <c r="B111" s="54"/>
      <c r="C111" s="54"/>
      <c r="D111" s="54"/>
      <c r="E111" s="54"/>
      <c r="F111" s="54"/>
      <c r="G111" s="54"/>
      <c r="H111" s="54"/>
      <c r="I111" s="54"/>
      <c r="J111" s="54"/>
      <c r="K111" s="54"/>
      <c r="L111" s="54"/>
      <c r="M111" s="54"/>
      <c r="N111" s="54"/>
      <c r="O111" s="54"/>
      <c r="P111" s="54"/>
      <c r="Q111" s="29"/>
      <c r="R111" s="29"/>
      <c r="S111" s="29"/>
      <c r="T111" s="29"/>
    </row>
    <row r="112" spans="1:20" s="40" customFormat="1" x14ac:dyDescent="0.2">
      <c r="A112" s="25"/>
      <c r="B112" s="25"/>
      <c r="C112" s="25"/>
      <c r="D112" s="25"/>
      <c r="E112" s="58"/>
      <c r="F112" s="58"/>
      <c r="G112" s="58"/>
      <c r="H112" s="58"/>
      <c r="I112" s="59"/>
      <c r="J112" s="60"/>
      <c r="K112" s="59"/>
      <c r="L112" s="60"/>
      <c r="M112" s="59"/>
      <c r="N112" s="60"/>
      <c r="O112" s="54"/>
      <c r="P112" s="54"/>
      <c r="Q112" s="57"/>
      <c r="R112" s="29"/>
      <c r="S112" s="29"/>
      <c r="T112" s="29"/>
    </row>
    <row r="113" spans="1:20" s="37" customFormat="1" x14ac:dyDescent="0.2">
      <c r="A113" s="25"/>
      <c r="B113" s="25"/>
      <c r="C113" s="25"/>
      <c r="D113" s="25"/>
      <c r="E113" s="58"/>
      <c r="F113" s="58"/>
      <c r="G113" s="58"/>
      <c r="H113" s="58"/>
      <c r="I113" s="59"/>
      <c r="J113" s="60"/>
      <c r="K113" s="59"/>
      <c r="L113" s="60"/>
      <c r="M113" s="59"/>
      <c r="N113" s="60"/>
      <c r="O113" s="59"/>
      <c r="P113" s="60"/>
      <c r="Q113" s="29"/>
      <c r="R113" s="29"/>
      <c r="S113" s="29"/>
      <c r="T113" s="29"/>
    </row>
    <row r="114" spans="1:20" s="48" customFormat="1" x14ac:dyDescent="0.2">
      <c r="A114" s="25"/>
      <c r="B114" s="25"/>
      <c r="C114" s="25"/>
      <c r="D114" s="25"/>
      <c r="E114" s="58"/>
      <c r="F114" s="58"/>
      <c r="G114" s="58"/>
      <c r="H114" s="58"/>
      <c r="I114" s="59"/>
      <c r="J114" s="60"/>
      <c r="K114" s="59"/>
      <c r="L114" s="286"/>
      <c r="M114" s="59"/>
      <c r="N114" s="60"/>
      <c r="O114" s="59"/>
      <c r="P114" s="60"/>
      <c r="Q114" s="29"/>
      <c r="R114" s="29"/>
      <c r="S114" s="29"/>
      <c r="T114" s="29"/>
    </row>
    <row r="115" spans="1:20" s="48" customFormat="1" x14ac:dyDescent="0.2">
      <c r="A115" s="25"/>
      <c r="B115" s="25"/>
      <c r="C115" s="25"/>
      <c r="D115" s="25"/>
      <c r="E115" s="58"/>
      <c r="F115" s="58"/>
      <c r="G115" s="58"/>
      <c r="H115" s="58"/>
      <c r="I115" s="59"/>
      <c r="J115" s="60"/>
      <c r="K115" s="59"/>
      <c r="L115" s="60"/>
      <c r="M115" s="59"/>
      <c r="N115" s="60"/>
      <c r="O115" s="59"/>
      <c r="P115" s="60"/>
      <c r="Q115" s="29"/>
      <c r="R115" s="29"/>
      <c r="S115" s="29"/>
      <c r="T115" s="29"/>
    </row>
    <row r="116" spans="1:20" s="48" customFormat="1" x14ac:dyDescent="0.2">
      <c r="A116" s="25"/>
      <c r="B116" s="25"/>
      <c r="C116" s="25"/>
      <c r="D116" s="25"/>
      <c r="E116" s="58"/>
      <c r="F116" s="58"/>
      <c r="G116" s="58"/>
      <c r="H116" s="58"/>
      <c r="I116" s="59"/>
      <c r="J116" s="60"/>
      <c r="K116" s="59"/>
      <c r="L116" s="60"/>
      <c r="M116" s="59"/>
      <c r="N116" s="60"/>
      <c r="O116" s="59"/>
      <c r="P116" s="60"/>
      <c r="Q116" s="29"/>
      <c r="R116" s="29"/>
      <c r="S116" s="29"/>
      <c r="T116" s="29"/>
    </row>
    <row r="117" spans="1:20" ht="31.5" customHeight="1" x14ac:dyDescent="0.2">
      <c r="B117" s="25"/>
      <c r="C117" s="25"/>
      <c r="D117" s="25"/>
      <c r="E117" s="58"/>
      <c r="F117" s="58"/>
      <c r="G117" s="58"/>
      <c r="H117" s="58"/>
    </row>
    <row r="118" spans="1:20" ht="30.75" customHeight="1" x14ac:dyDescent="0.2">
      <c r="B118" s="25"/>
      <c r="C118" s="25"/>
      <c r="D118" s="25"/>
      <c r="E118" s="58"/>
      <c r="F118" s="58"/>
      <c r="G118" s="58"/>
      <c r="H118" s="58"/>
    </row>
    <row r="119" spans="1:20" ht="17.25" customHeight="1" x14ac:dyDescent="0.2">
      <c r="B119" s="25"/>
      <c r="C119" s="25"/>
      <c r="D119" s="25"/>
      <c r="E119" s="58"/>
      <c r="F119" s="58"/>
      <c r="G119" s="58"/>
      <c r="H119" s="58"/>
    </row>
    <row r="120" spans="1:20" ht="28.5" customHeight="1" x14ac:dyDescent="0.2">
      <c r="B120" s="25"/>
      <c r="C120" s="25"/>
      <c r="D120" s="25"/>
      <c r="E120" s="58"/>
      <c r="F120" s="58"/>
      <c r="G120" s="58"/>
      <c r="H120" s="58"/>
    </row>
    <row r="121" spans="1:20" ht="18.75" customHeight="1" x14ac:dyDescent="0.2">
      <c r="B121" s="25"/>
      <c r="C121" s="25"/>
      <c r="D121" s="25"/>
      <c r="E121" s="58"/>
      <c r="F121" s="58"/>
      <c r="G121" s="58"/>
      <c r="H121" s="58"/>
    </row>
    <row r="122" spans="1:20" x14ac:dyDescent="0.2">
      <c r="B122" s="25"/>
      <c r="C122" s="25"/>
      <c r="D122" s="25"/>
      <c r="E122" s="58"/>
      <c r="F122" s="58"/>
      <c r="G122" s="58"/>
      <c r="H122" s="58"/>
      <c r="S122" s="59"/>
      <c r="T122" s="59"/>
    </row>
    <row r="123" spans="1:20" x14ac:dyDescent="0.2">
      <c r="B123" s="25"/>
      <c r="C123" s="25"/>
      <c r="D123" s="25"/>
      <c r="E123" s="58"/>
      <c r="F123" s="58"/>
      <c r="G123" s="58"/>
      <c r="H123" s="58"/>
      <c r="S123" s="59"/>
      <c r="T123" s="59"/>
    </row>
    <row r="124" spans="1:20" x14ac:dyDescent="0.2">
      <c r="B124" s="25"/>
      <c r="C124" s="25"/>
      <c r="D124" s="25"/>
      <c r="E124" s="58"/>
      <c r="F124" s="58"/>
      <c r="G124" s="58"/>
      <c r="H124" s="58"/>
      <c r="S124" s="59"/>
      <c r="T124" s="59"/>
    </row>
    <row r="125" spans="1:20" x14ac:dyDescent="0.2">
      <c r="B125" s="25"/>
      <c r="C125" s="25"/>
      <c r="D125" s="25"/>
      <c r="E125" s="58"/>
      <c r="F125" s="58"/>
      <c r="G125" s="58"/>
      <c r="H125" s="58"/>
      <c r="S125" s="59"/>
      <c r="T125" s="59"/>
    </row>
    <row r="126" spans="1:20" x14ac:dyDescent="0.2">
      <c r="B126" s="25"/>
      <c r="C126" s="25"/>
      <c r="D126" s="25"/>
      <c r="E126" s="58"/>
      <c r="F126" s="58"/>
      <c r="G126" s="58"/>
      <c r="H126" s="58"/>
      <c r="S126" s="59"/>
      <c r="T126" s="59"/>
    </row>
    <row r="127" spans="1:20" x14ac:dyDescent="0.2">
      <c r="B127" s="25"/>
      <c r="C127" s="25"/>
      <c r="D127" s="25"/>
      <c r="E127" s="58"/>
      <c r="F127" s="58"/>
      <c r="G127" s="58"/>
      <c r="H127" s="58"/>
      <c r="S127" s="59"/>
      <c r="T127" s="59"/>
    </row>
    <row r="128" spans="1:20" x14ac:dyDescent="0.2">
      <c r="B128" s="25"/>
      <c r="C128" s="25"/>
      <c r="D128" s="25"/>
      <c r="E128" s="58"/>
      <c r="F128" s="58"/>
      <c r="G128" s="58"/>
      <c r="H128" s="58"/>
      <c r="S128" s="59"/>
      <c r="T128" s="59"/>
    </row>
    <row r="129" spans="1:20" x14ac:dyDescent="0.2">
      <c r="B129" s="25"/>
      <c r="C129" s="25"/>
      <c r="D129" s="25"/>
      <c r="E129" s="58"/>
      <c r="F129" s="58"/>
      <c r="G129" s="58"/>
      <c r="H129" s="58"/>
      <c r="S129" s="59"/>
      <c r="T129" s="59"/>
    </row>
    <row r="130" spans="1:20" x14ac:dyDescent="0.2">
      <c r="B130" s="25"/>
      <c r="C130" s="25"/>
      <c r="D130" s="25"/>
      <c r="E130" s="58"/>
      <c r="F130" s="58"/>
      <c r="G130" s="58"/>
      <c r="H130" s="58"/>
      <c r="S130" s="59"/>
      <c r="T130" s="59"/>
    </row>
    <row r="131" spans="1:20" x14ac:dyDescent="0.2">
      <c r="B131" s="25"/>
      <c r="C131" s="25"/>
      <c r="D131" s="25"/>
      <c r="E131" s="58"/>
      <c r="F131" s="58"/>
      <c r="G131" s="58"/>
      <c r="H131" s="58"/>
      <c r="S131" s="59"/>
      <c r="T131" s="59"/>
    </row>
    <row r="132" spans="1:20" x14ac:dyDescent="0.2">
      <c r="B132" s="25"/>
      <c r="C132" s="25"/>
      <c r="D132" s="25"/>
      <c r="E132" s="58"/>
      <c r="F132" s="58"/>
      <c r="G132" s="58"/>
      <c r="H132" s="58"/>
      <c r="S132" s="59"/>
      <c r="T132" s="59"/>
    </row>
    <row r="133" spans="1:20" x14ac:dyDescent="0.2">
      <c r="B133" s="25"/>
      <c r="C133" s="25"/>
      <c r="D133" s="25"/>
      <c r="E133" s="58"/>
      <c r="F133" s="58"/>
      <c r="G133" s="58"/>
      <c r="H133" s="58"/>
      <c r="S133" s="59"/>
      <c r="T133" s="59"/>
    </row>
    <row r="134" spans="1:20" s="59" customFormat="1" x14ac:dyDescent="0.2">
      <c r="A134" s="25"/>
      <c r="B134" s="25"/>
      <c r="C134" s="25"/>
      <c r="D134" s="25"/>
      <c r="E134" s="58"/>
      <c r="F134" s="58"/>
      <c r="G134" s="58"/>
      <c r="H134" s="58"/>
      <c r="J134" s="60"/>
      <c r="L134" s="60"/>
      <c r="N134" s="60"/>
      <c r="P134" s="60"/>
      <c r="Q134" s="29"/>
      <c r="R134" s="29"/>
    </row>
    <row r="135" spans="1:20" s="59" customFormat="1" x14ac:dyDescent="0.2">
      <c r="A135" s="25"/>
      <c r="B135" s="25"/>
      <c r="C135" s="25"/>
      <c r="D135" s="25"/>
      <c r="E135" s="58"/>
      <c r="F135" s="58"/>
      <c r="G135" s="58"/>
      <c r="H135" s="58"/>
      <c r="J135" s="60"/>
      <c r="L135" s="60"/>
      <c r="N135" s="60"/>
      <c r="P135" s="60"/>
      <c r="Q135" s="29"/>
      <c r="R135" s="29"/>
    </row>
    <row r="136" spans="1:20" s="59" customFormat="1" x14ac:dyDescent="0.2">
      <c r="A136" s="25"/>
      <c r="B136" s="25"/>
      <c r="C136" s="25"/>
      <c r="D136" s="25"/>
      <c r="E136" s="58"/>
      <c r="F136" s="58"/>
      <c r="G136" s="58"/>
      <c r="H136" s="58"/>
      <c r="J136" s="60"/>
      <c r="L136" s="60"/>
      <c r="N136" s="60"/>
      <c r="P136" s="60"/>
      <c r="Q136" s="29"/>
      <c r="R136" s="29"/>
    </row>
    <row r="137" spans="1:20" s="59" customFormat="1" x14ac:dyDescent="0.2">
      <c r="A137" s="25"/>
      <c r="B137" s="25"/>
      <c r="C137" s="25"/>
      <c r="D137" s="25"/>
      <c r="E137" s="58"/>
      <c r="F137" s="58"/>
      <c r="G137" s="58"/>
      <c r="H137" s="58"/>
      <c r="J137" s="60"/>
      <c r="L137" s="60"/>
      <c r="N137" s="60"/>
      <c r="P137" s="60"/>
      <c r="Q137" s="29"/>
      <c r="R137" s="29"/>
    </row>
    <row r="138" spans="1:20" s="59" customFormat="1" x14ac:dyDescent="0.2">
      <c r="A138" s="25"/>
      <c r="B138" s="25"/>
      <c r="C138" s="25"/>
      <c r="D138" s="25"/>
      <c r="E138" s="58"/>
      <c r="F138" s="58"/>
      <c r="G138" s="58"/>
      <c r="H138" s="58"/>
      <c r="J138" s="60"/>
      <c r="L138" s="60"/>
      <c r="N138" s="60"/>
      <c r="P138" s="60"/>
      <c r="Q138" s="29"/>
      <c r="R138" s="29"/>
    </row>
    <row r="139" spans="1:20" s="59" customFormat="1" x14ac:dyDescent="0.2">
      <c r="A139" s="25"/>
      <c r="B139" s="25"/>
      <c r="C139" s="25"/>
      <c r="D139" s="25"/>
      <c r="E139" s="58"/>
      <c r="F139" s="58"/>
      <c r="G139" s="58"/>
      <c r="H139" s="58"/>
      <c r="J139" s="60"/>
      <c r="L139" s="60"/>
      <c r="N139" s="60"/>
      <c r="P139" s="60"/>
      <c r="Q139" s="29"/>
      <c r="R139" s="29"/>
    </row>
    <row r="140" spans="1:20" s="59" customFormat="1" x14ac:dyDescent="0.2">
      <c r="A140" s="25"/>
      <c r="B140" s="25"/>
      <c r="C140" s="25"/>
      <c r="D140" s="25"/>
      <c r="E140" s="58"/>
      <c r="F140" s="58"/>
      <c r="G140" s="58"/>
      <c r="H140" s="58"/>
      <c r="J140" s="60"/>
      <c r="L140" s="60"/>
      <c r="N140" s="60"/>
      <c r="P140" s="60"/>
      <c r="Q140" s="29"/>
      <c r="R140" s="29"/>
    </row>
    <row r="141" spans="1:20" s="59" customFormat="1" x14ac:dyDescent="0.2">
      <c r="A141" s="25"/>
      <c r="B141" s="25"/>
      <c r="C141" s="61"/>
      <c r="D141" s="61"/>
      <c r="F141" s="60"/>
      <c r="H141" s="60"/>
      <c r="J141" s="60"/>
      <c r="L141" s="60"/>
      <c r="N141" s="60"/>
      <c r="P141" s="60"/>
      <c r="Q141" s="29"/>
      <c r="R141" s="29"/>
    </row>
    <row r="142" spans="1:20" s="59" customFormat="1" x14ac:dyDescent="0.2">
      <c r="A142" s="25"/>
      <c r="B142" s="25"/>
      <c r="C142" s="61"/>
      <c r="D142" s="61"/>
      <c r="F142" s="60"/>
      <c r="H142" s="60"/>
      <c r="J142" s="60"/>
      <c r="L142" s="60"/>
      <c r="N142" s="60"/>
      <c r="P142" s="60"/>
      <c r="Q142" s="29"/>
      <c r="R142" s="29"/>
    </row>
    <row r="143" spans="1:20" s="59" customFormat="1" x14ac:dyDescent="0.2">
      <c r="A143" s="25"/>
      <c r="B143" s="25"/>
      <c r="C143" s="61"/>
      <c r="D143" s="61"/>
      <c r="F143" s="60"/>
      <c r="H143" s="60"/>
      <c r="J143" s="60"/>
      <c r="L143" s="60"/>
      <c r="N143" s="60"/>
      <c r="P143" s="60"/>
      <c r="Q143" s="29"/>
      <c r="R143" s="29"/>
    </row>
    <row r="144" spans="1:20" s="59" customFormat="1" x14ac:dyDescent="0.2">
      <c r="A144" s="25"/>
      <c r="B144" s="25"/>
      <c r="C144" s="61"/>
      <c r="D144" s="61"/>
      <c r="F144" s="60"/>
      <c r="H144" s="60"/>
      <c r="J144" s="60"/>
      <c r="L144" s="60"/>
      <c r="N144" s="60"/>
      <c r="P144" s="60"/>
      <c r="Q144" s="29"/>
      <c r="R144" s="29"/>
    </row>
    <row r="145" spans="1:20" s="59" customFormat="1" x14ac:dyDescent="0.2">
      <c r="A145" s="25"/>
      <c r="B145" s="25"/>
      <c r="C145" s="61"/>
      <c r="D145" s="61"/>
      <c r="F145" s="60"/>
      <c r="H145" s="60"/>
      <c r="J145" s="60"/>
      <c r="L145" s="60"/>
      <c r="N145" s="60"/>
      <c r="P145" s="60"/>
      <c r="Q145" s="29"/>
      <c r="R145" s="29"/>
    </row>
    <row r="146" spans="1:20" s="59" customFormat="1" x14ac:dyDescent="0.2">
      <c r="A146" s="25"/>
      <c r="B146" s="25"/>
      <c r="C146" s="61"/>
      <c r="D146" s="61"/>
      <c r="F146" s="60"/>
      <c r="H146" s="60"/>
      <c r="J146" s="60"/>
      <c r="L146" s="60"/>
      <c r="N146" s="60"/>
      <c r="P146" s="60"/>
      <c r="Q146" s="29"/>
      <c r="R146" s="29"/>
    </row>
    <row r="147" spans="1:20" s="59" customFormat="1" x14ac:dyDescent="0.2">
      <c r="A147" s="25"/>
      <c r="B147" s="25"/>
      <c r="C147" s="61"/>
      <c r="D147" s="61"/>
      <c r="F147" s="60"/>
      <c r="H147" s="60"/>
      <c r="J147" s="60"/>
      <c r="L147" s="60"/>
      <c r="N147" s="60"/>
      <c r="P147" s="60"/>
      <c r="Q147" s="29"/>
      <c r="R147" s="29"/>
    </row>
    <row r="148" spans="1:20" s="59" customFormat="1" x14ac:dyDescent="0.2">
      <c r="A148" s="25"/>
      <c r="B148" s="25"/>
      <c r="C148" s="61"/>
      <c r="D148" s="61"/>
      <c r="F148" s="60"/>
      <c r="H148" s="60"/>
      <c r="J148" s="60"/>
      <c r="L148" s="60"/>
      <c r="N148" s="60"/>
      <c r="P148" s="60"/>
      <c r="Q148" s="29"/>
      <c r="R148" s="29"/>
    </row>
    <row r="149" spans="1:20" s="59" customFormat="1" x14ac:dyDescent="0.2">
      <c r="A149" s="25"/>
      <c r="B149" s="25"/>
      <c r="C149" s="61"/>
      <c r="D149" s="61"/>
      <c r="F149" s="60"/>
      <c r="H149" s="60"/>
      <c r="J149" s="60"/>
      <c r="L149" s="60"/>
      <c r="N149" s="60"/>
      <c r="P149" s="60"/>
      <c r="Q149" s="29"/>
      <c r="R149" s="29"/>
    </row>
    <row r="150" spans="1:20" s="59" customFormat="1" x14ac:dyDescent="0.2">
      <c r="A150" s="25"/>
      <c r="B150" s="25"/>
      <c r="C150" s="61"/>
      <c r="D150" s="61"/>
      <c r="F150" s="60"/>
      <c r="H150" s="60"/>
      <c r="J150" s="60"/>
      <c r="L150" s="60"/>
      <c r="N150" s="60"/>
      <c r="P150" s="60"/>
      <c r="Q150" s="29"/>
      <c r="R150" s="29"/>
    </row>
    <row r="151" spans="1:20" s="59" customFormat="1" x14ac:dyDescent="0.2">
      <c r="A151" s="25"/>
      <c r="B151" s="25"/>
      <c r="C151" s="61"/>
      <c r="D151" s="61"/>
      <c r="F151" s="60"/>
      <c r="H151" s="60"/>
      <c r="J151" s="60"/>
      <c r="L151" s="60"/>
      <c r="N151" s="60"/>
      <c r="P151" s="60"/>
      <c r="Q151" s="29"/>
      <c r="R151" s="29"/>
    </row>
    <row r="152" spans="1:20" s="59" customFormat="1" x14ac:dyDescent="0.2">
      <c r="A152" s="25"/>
      <c r="B152" s="25"/>
      <c r="C152" s="61"/>
      <c r="D152" s="61"/>
      <c r="F152" s="60"/>
      <c r="H152" s="60"/>
      <c r="J152" s="60"/>
      <c r="L152" s="60"/>
      <c r="N152" s="60"/>
      <c r="P152" s="60"/>
      <c r="Q152" s="29"/>
      <c r="R152" s="29"/>
    </row>
    <row r="153" spans="1:20" s="59" customFormat="1" x14ac:dyDescent="0.2">
      <c r="A153" s="25"/>
      <c r="B153" s="25"/>
      <c r="C153" s="61"/>
      <c r="D153" s="61"/>
      <c r="F153" s="60"/>
      <c r="H153" s="60"/>
      <c r="J153" s="60"/>
      <c r="L153" s="60"/>
      <c r="N153" s="60"/>
      <c r="P153" s="60"/>
      <c r="Q153" s="29"/>
      <c r="R153" s="29"/>
    </row>
    <row r="154" spans="1:20" s="59" customFormat="1" x14ac:dyDescent="0.2">
      <c r="A154" s="25"/>
      <c r="B154" s="25"/>
      <c r="C154" s="61"/>
      <c r="D154" s="61"/>
      <c r="F154" s="60"/>
      <c r="H154" s="60"/>
      <c r="J154" s="60"/>
      <c r="L154" s="60"/>
      <c r="N154" s="60"/>
      <c r="P154" s="60"/>
      <c r="Q154" s="29"/>
      <c r="R154" s="29"/>
      <c r="S154" s="61"/>
      <c r="T154" s="61"/>
    </row>
    <row r="155" spans="1:20" s="59" customFormat="1" x14ac:dyDescent="0.2">
      <c r="A155" s="25"/>
      <c r="B155" s="25"/>
      <c r="C155" s="61"/>
      <c r="D155" s="61"/>
      <c r="F155" s="60"/>
      <c r="H155" s="60"/>
      <c r="J155" s="60"/>
      <c r="L155" s="60"/>
      <c r="N155" s="60"/>
      <c r="P155" s="60"/>
      <c r="Q155" s="29"/>
      <c r="R155" s="29"/>
      <c r="S155" s="61"/>
      <c r="T155" s="61"/>
    </row>
    <row r="156" spans="1:20" s="59" customFormat="1" x14ac:dyDescent="0.2">
      <c r="A156" s="25"/>
      <c r="B156" s="25"/>
      <c r="C156" s="61"/>
      <c r="D156" s="61"/>
      <c r="F156" s="60"/>
      <c r="H156" s="60"/>
      <c r="J156" s="60"/>
      <c r="L156" s="60"/>
      <c r="N156" s="60"/>
      <c r="P156" s="60"/>
      <c r="Q156" s="29"/>
      <c r="R156" s="29"/>
      <c r="S156" s="61"/>
      <c r="T156" s="61"/>
    </row>
    <row r="157" spans="1:20" s="59" customFormat="1" x14ac:dyDescent="0.2">
      <c r="A157" s="25"/>
      <c r="B157" s="25"/>
      <c r="C157" s="61"/>
      <c r="D157" s="61"/>
      <c r="F157" s="60"/>
      <c r="H157" s="60"/>
      <c r="J157" s="60"/>
      <c r="L157" s="60"/>
      <c r="N157" s="60"/>
      <c r="P157" s="60"/>
      <c r="Q157" s="29"/>
      <c r="R157" s="29"/>
      <c r="S157" s="61"/>
      <c r="T157" s="61"/>
    </row>
    <row r="158" spans="1:20" s="59" customFormat="1" x14ac:dyDescent="0.2">
      <c r="A158" s="25"/>
      <c r="B158" s="26"/>
      <c r="C158" s="61"/>
      <c r="D158" s="61"/>
      <c r="F158" s="60"/>
      <c r="H158" s="60"/>
      <c r="J158" s="60"/>
      <c r="L158" s="60"/>
      <c r="N158" s="60"/>
      <c r="P158" s="60"/>
      <c r="Q158" s="29"/>
      <c r="R158" s="29"/>
      <c r="S158" s="29"/>
      <c r="T158" s="29"/>
    </row>
    <row r="159" spans="1:20" s="59" customFormat="1" x14ac:dyDescent="0.2">
      <c r="A159" s="25"/>
      <c r="B159" s="26"/>
      <c r="C159" s="61"/>
      <c r="D159" s="61"/>
      <c r="F159" s="60"/>
      <c r="H159" s="60"/>
      <c r="J159" s="60"/>
      <c r="L159" s="60"/>
      <c r="N159" s="60"/>
      <c r="P159" s="60"/>
      <c r="Q159" s="29"/>
      <c r="R159" s="29"/>
      <c r="S159" s="29"/>
      <c r="T159" s="29"/>
    </row>
    <row r="160" spans="1:20" s="59" customFormat="1" x14ac:dyDescent="0.2">
      <c r="A160" s="25"/>
      <c r="B160" s="26"/>
      <c r="C160" s="61"/>
      <c r="D160" s="61"/>
      <c r="F160" s="60"/>
      <c r="H160" s="60"/>
      <c r="J160" s="60"/>
      <c r="L160" s="60"/>
      <c r="N160" s="60"/>
      <c r="P160" s="60"/>
      <c r="Q160" s="29"/>
      <c r="R160" s="29"/>
      <c r="S160" s="29"/>
      <c r="T160" s="29"/>
    </row>
    <row r="161" spans="1:20" s="59" customFormat="1" x14ac:dyDescent="0.2">
      <c r="A161" s="25"/>
      <c r="B161" s="26"/>
      <c r="C161" s="61"/>
      <c r="D161" s="61"/>
      <c r="F161" s="60"/>
      <c r="H161" s="60"/>
      <c r="J161" s="60"/>
      <c r="L161" s="60"/>
      <c r="N161" s="60"/>
      <c r="P161" s="60"/>
      <c r="Q161" s="29"/>
      <c r="R161" s="29"/>
      <c r="S161" s="29"/>
      <c r="T161" s="29"/>
    </row>
    <row r="162" spans="1:20" s="59" customFormat="1" x14ac:dyDescent="0.2">
      <c r="A162" s="25"/>
      <c r="B162" s="26"/>
      <c r="C162" s="61"/>
      <c r="D162" s="61"/>
      <c r="F162" s="60"/>
      <c r="H162" s="60"/>
      <c r="J162" s="60"/>
      <c r="L162" s="60"/>
      <c r="N162" s="60"/>
      <c r="P162" s="60"/>
      <c r="Q162" s="29"/>
      <c r="R162" s="29"/>
      <c r="S162" s="29"/>
      <c r="T162" s="29"/>
    </row>
    <row r="163" spans="1:20" s="59" customFormat="1" x14ac:dyDescent="0.2">
      <c r="A163" s="25"/>
      <c r="B163" s="26"/>
      <c r="C163" s="61"/>
      <c r="D163" s="61"/>
      <c r="F163" s="60"/>
      <c r="H163" s="60"/>
      <c r="J163" s="60"/>
      <c r="L163" s="60"/>
      <c r="N163" s="60"/>
      <c r="P163" s="60"/>
      <c r="Q163" s="29"/>
      <c r="R163" s="29"/>
      <c r="S163" s="29"/>
      <c r="T163" s="29"/>
    </row>
    <row r="164" spans="1:20" s="59" customFormat="1" x14ac:dyDescent="0.2">
      <c r="A164" s="25"/>
      <c r="B164" s="26"/>
      <c r="C164" s="61"/>
      <c r="D164" s="61"/>
      <c r="F164" s="60"/>
      <c r="H164" s="60"/>
      <c r="J164" s="60"/>
      <c r="L164" s="60"/>
      <c r="N164" s="60"/>
      <c r="P164" s="60"/>
      <c r="Q164" s="29"/>
      <c r="R164" s="29"/>
      <c r="S164" s="29"/>
      <c r="T164" s="29"/>
    </row>
    <row r="165" spans="1:20" s="59" customFormat="1" x14ac:dyDescent="0.2">
      <c r="A165" s="25"/>
      <c r="B165" s="26"/>
      <c r="C165" s="61"/>
      <c r="D165" s="61"/>
      <c r="F165" s="60"/>
      <c r="H165" s="60"/>
      <c r="J165" s="60"/>
      <c r="L165" s="60"/>
      <c r="N165" s="60"/>
      <c r="P165" s="60"/>
      <c r="Q165" s="29"/>
      <c r="R165" s="29"/>
      <c r="S165" s="29"/>
      <c r="T165" s="29"/>
    </row>
    <row r="166" spans="1:20" s="61" customFormat="1" x14ac:dyDescent="0.2">
      <c r="A166" s="25"/>
      <c r="B166" s="26"/>
      <c r="E166" s="59"/>
      <c r="F166" s="60"/>
      <c r="G166" s="59"/>
      <c r="H166" s="60"/>
      <c r="I166" s="59"/>
      <c r="J166" s="60"/>
      <c r="K166" s="59"/>
      <c r="L166" s="60"/>
      <c r="M166" s="59"/>
      <c r="N166" s="60"/>
      <c r="O166" s="59"/>
      <c r="P166" s="60"/>
      <c r="Q166" s="29"/>
      <c r="R166" s="29"/>
      <c r="S166" s="29"/>
      <c r="T166" s="29"/>
    </row>
    <row r="167" spans="1:20" s="61" customFormat="1" x14ac:dyDescent="0.2">
      <c r="A167" s="25"/>
      <c r="B167" s="26"/>
      <c r="E167" s="59"/>
      <c r="F167" s="60"/>
      <c r="G167" s="59"/>
      <c r="H167" s="60"/>
      <c r="I167" s="59"/>
      <c r="J167" s="60"/>
      <c r="K167" s="59"/>
      <c r="L167" s="60"/>
      <c r="M167" s="59"/>
      <c r="N167" s="60"/>
      <c r="O167" s="59"/>
      <c r="P167" s="60"/>
      <c r="Q167" s="29"/>
      <c r="R167" s="29"/>
      <c r="S167" s="29"/>
      <c r="T167" s="29"/>
    </row>
    <row r="168" spans="1:20" s="61" customFormat="1" x14ac:dyDescent="0.2">
      <c r="A168" s="25"/>
      <c r="B168" s="26"/>
      <c r="E168" s="59"/>
      <c r="F168" s="60"/>
      <c r="G168" s="59"/>
      <c r="H168" s="60"/>
      <c r="I168" s="59"/>
      <c r="J168" s="60"/>
      <c r="K168" s="59"/>
      <c r="L168" s="60"/>
      <c r="M168" s="59"/>
      <c r="N168" s="60"/>
      <c r="O168" s="59"/>
      <c r="P168" s="60"/>
      <c r="Q168" s="29"/>
      <c r="R168" s="29"/>
      <c r="S168" s="29"/>
      <c r="T168" s="29"/>
    </row>
    <row r="169" spans="1:20" s="61" customFormat="1" x14ac:dyDescent="0.2">
      <c r="A169" s="25"/>
      <c r="B169" s="26"/>
      <c r="E169" s="59"/>
      <c r="F169" s="60"/>
      <c r="G169" s="59"/>
      <c r="H169" s="60"/>
      <c r="I169" s="59"/>
      <c r="J169" s="60"/>
      <c r="K169" s="59"/>
      <c r="L169" s="60"/>
      <c r="M169" s="59"/>
      <c r="N169" s="60"/>
      <c r="O169" s="59"/>
      <c r="P169" s="60"/>
      <c r="Q169" s="29"/>
      <c r="R169" s="29"/>
      <c r="S169" s="29"/>
      <c r="T169" s="29"/>
    </row>
  </sheetData>
  <mergeCells count="4">
    <mergeCell ref="A107:N107"/>
    <mergeCell ref="A108:N108"/>
    <mergeCell ref="A109:N109"/>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rintOptions horizontalCentered="1"/>
  <pageMargins left="0" right="0" top="1" bottom="0.75" header="0.5" footer="0.5"/>
  <pageSetup scale="64" fitToHeight="0" pageOrder="overThenDown" orientation="landscape" blackAndWhite="1"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9">
    <pageSetUpPr fitToPage="1"/>
  </sheetPr>
  <dimension ref="A1:Q9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1060</v>
      </c>
      <c r="C3" s="10" t="s">
        <v>1061</v>
      </c>
      <c r="D3" s="6"/>
      <c r="E3" s="11"/>
      <c r="F3" s="9"/>
      <c r="G3" s="11"/>
      <c r="H3" s="6"/>
      <c r="I3" s="11"/>
      <c r="J3" s="6"/>
      <c r="K3" s="1734"/>
      <c r="L3" s="6"/>
      <c r="M3" s="11"/>
      <c r="N3" s="6"/>
    </row>
    <row r="4" spans="1:16" s="4" customFormat="1" ht="15.75" x14ac:dyDescent="0.25">
      <c r="A4" s="1" t="s">
        <v>180</v>
      </c>
      <c r="B4" s="10" t="s">
        <v>1198</v>
      </c>
      <c r="C4" s="10" t="s">
        <v>1199</v>
      </c>
      <c r="D4" s="6"/>
      <c r="E4" s="11"/>
      <c r="F4" s="9"/>
      <c r="G4" s="11"/>
      <c r="H4" s="6"/>
      <c r="I4" s="11"/>
      <c r="J4" s="6"/>
      <c r="K4" s="11"/>
      <c r="L4" s="6"/>
      <c r="M4" s="11"/>
      <c r="N4" s="6"/>
    </row>
    <row r="5" spans="1:16" s="4" customFormat="1" ht="15.75" x14ac:dyDescent="0.2">
      <c r="A5" s="1" t="s">
        <v>183</v>
      </c>
      <c r="B5" s="12" t="s">
        <v>1200</v>
      </c>
      <c r="C5" s="12" t="s">
        <v>29</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24" customFormat="1" x14ac:dyDescent="0.2">
      <c r="A10" s="344" t="s">
        <v>517</v>
      </c>
      <c r="B10" s="31"/>
      <c r="C10" s="1713"/>
      <c r="E10" s="1713"/>
      <c r="I10" s="1713"/>
      <c r="K10" s="1713"/>
    </row>
    <row r="11" spans="1:16" s="24" customFormat="1" x14ac:dyDescent="0.2">
      <c r="A11" s="907" t="s">
        <v>1199</v>
      </c>
      <c r="B11" s="317"/>
      <c r="C11" s="1713"/>
      <c r="E11" s="1713"/>
      <c r="I11" s="1713"/>
      <c r="K11" s="1713"/>
    </row>
    <row r="12" spans="1:16" s="24" customFormat="1" x14ac:dyDescent="0.2">
      <c r="A12" s="239" t="s">
        <v>1201</v>
      </c>
      <c r="B12" s="317"/>
      <c r="C12" s="1711"/>
      <c r="E12" s="1711"/>
      <c r="I12" s="1711"/>
      <c r="K12" s="1711"/>
    </row>
    <row r="13" spans="1:16" s="24" customFormat="1" x14ac:dyDescent="0.2">
      <c r="A13" s="908" t="s">
        <v>1202</v>
      </c>
      <c r="B13" s="317"/>
      <c r="C13" s="1711">
        <v>653</v>
      </c>
      <c r="D13" s="308"/>
      <c r="E13" s="1711">
        <v>651</v>
      </c>
      <c r="F13" s="308"/>
      <c r="G13" s="308">
        <v>660</v>
      </c>
      <c r="H13" s="308"/>
      <c r="I13" s="1711">
        <v>660</v>
      </c>
      <c r="J13" s="308"/>
      <c r="K13" s="1711">
        <v>671</v>
      </c>
      <c r="M13" s="909"/>
    </row>
    <row r="14" spans="1:16" s="24" customFormat="1" x14ac:dyDescent="0.2">
      <c r="A14" s="908" t="s">
        <v>359</v>
      </c>
      <c r="B14" s="317"/>
      <c r="C14" s="1712">
        <v>10628000</v>
      </c>
      <c r="D14" s="308"/>
      <c r="E14" s="1712">
        <v>10335000</v>
      </c>
      <c r="F14" s="308"/>
      <c r="G14" s="308">
        <v>11117000</v>
      </c>
      <c r="H14" s="308"/>
      <c r="I14" s="1712">
        <v>11117000</v>
      </c>
      <c r="J14" s="308"/>
      <c r="K14" s="1712">
        <v>11117000</v>
      </c>
      <c r="M14" s="909"/>
    </row>
    <row r="15" spans="1:16" s="24" customFormat="1" x14ac:dyDescent="0.2">
      <c r="A15" s="239"/>
      <c r="B15" s="317"/>
      <c r="C15" s="1711"/>
      <c r="E15" s="1711"/>
      <c r="I15" s="1711"/>
      <c r="K15" s="1711"/>
    </row>
    <row r="16" spans="1:16" s="24" customFormat="1" x14ac:dyDescent="0.2">
      <c r="A16" s="907" t="s">
        <v>194</v>
      </c>
      <c r="B16" s="317"/>
      <c r="C16" s="1711"/>
      <c r="E16" s="1711"/>
      <c r="I16" s="1711"/>
      <c r="K16" s="1711"/>
    </row>
    <row r="17" spans="1:17" s="24" customFormat="1" x14ac:dyDescent="0.2">
      <c r="A17" s="907" t="s">
        <v>195</v>
      </c>
      <c r="B17" s="317"/>
      <c r="C17" s="1711"/>
      <c r="E17" s="1711"/>
      <c r="I17" s="1711"/>
      <c r="K17" s="1711"/>
    </row>
    <row r="18" spans="1:17" s="24" customFormat="1" x14ac:dyDescent="0.2">
      <c r="A18" s="910" t="s">
        <v>196</v>
      </c>
      <c r="B18" s="317"/>
      <c r="C18" s="1711"/>
      <c r="E18" s="1711"/>
      <c r="I18" s="1711"/>
      <c r="K18" s="1711"/>
    </row>
    <row r="19" spans="1:17" s="24" customFormat="1" x14ac:dyDescent="0.2">
      <c r="A19" s="908" t="s">
        <v>197</v>
      </c>
      <c r="B19" s="317"/>
      <c r="C19" s="1711">
        <v>15</v>
      </c>
      <c r="E19" s="1711">
        <v>13</v>
      </c>
      <c r="G19" s="308">
        <v>13</v>
      </c>
      <c r="I19" s="1711">
        <v>11</v>
      </c>
      <c r="K19" s="1711">
        <v>13</v>
      </c>
      <c r="M19" s="911"/>
    </row>
    <row r="20" spans="1:17" s="24" customFormat="1" x14ac:dyDescent="0.2">
      <c r="A20" s="912" t="s">
        <v>564</v>
      </c>
      <c r="B20" s="317"/>
      <c r="C20" s="1711">
        <v>9</v>
      </c>
      <c r="E20" s="1711">
        <v>8</v>
      </c>
      <c r="G20" s="308">
        <v>11</v>
      </c>
      <c r="I20" s="1711">
        <v>9</v>
      </c>
      <c r="K20" s="1711">
        <v>11</v>
      </c>
      <c r="M20" s="911"/>
    </row>
    <row r="21" spans="1:17" s="24" customFormat="1" x14ac:dyDescent="0.2">
      <c r="A21" s="908" t="s">
        <v>198</v>
      </c>
      <c r="B21" s="317"/>
      <c r="C21" s="1711">
        <v>24</v>
      </c>
      <c r="E21" s="1711">
        <v>21</v>
      </c>
      <c r="G21" s="308">
        <v>24</v>
      </c>
      <c r="I21" s="1711">
        <v>20</v>
      </c>
      <c r="K21" s="1711">
        <v>24</v>
      </c>
      <c r="M21" s="911"/>
    </row>
    <row r="22" spans="1:17" s="24" customFormat="1" x14ac:dyDescent="0.2">
      <c r="A22" s="910" t="s">
        <v>199</v>
      </c>
      <c r="B22" s="317"/>
      <c r="C22" s="1711"/>
      <c r="E22" s="1711"/>
      <c r="G22" s="308"/>
      <c r="I22" s="1711"/>
      <c r="K22" s="1711"/>
      <c r="M22" s="911"/>
    </row>
    <row r="23" spans="1:17" s="24" customFormat="1" x14ac:dyDescent="0.2">
      <c r="A23" s="908" t="s">
        <v>1199</v>
      </c>
      <c r="B23" s="317"/>
      <c r="C23" s="1711">
        <v>24</v>
      </c>
      <c r="E23" s="1711">
        <v>21</v>
      </c>
      <c r="G23" s="308">
        <v>24</v>
      </c>
      <c r="I23" s="1711">
        <v>20</v>
      </c>
      <c r="K23" s="1711">
        <v>24</v>
      </c>
      <c r="M23" s="911"/>
    </row>
    <row r="24" spans="1:17" s="24" customFormat="1" x14ac:dyDescent="0.2">
      <c r="A24" s="908" t="s">
        <v>198</v>
      </c>
      <c r="B24" s="317"/>
      <c r="C24" s="1711">
        <v>24</v>
      </c>
      <c r="E24" s="1711">
        <v>21</v>
      </c>
      <c r="G24" s="308">
        <v>24</v>
      </c>
      <c r="I24" s="1711">
        <v>20</v>
      </c>
      <c r="K24" s="1711">
        <v>24</v>
      </c>
      <c r="M24" s="911"/>
    </row>
    <row r="25" spans="1:17" s="24" customFormat="1" x14ac:dyDescent="0.2">
      <c r="A25" s="239"/>
      <c r="B25" s="317"/>
    </row>
    <row r="26" spans="1:17" s="24" customFormat="1" x14ac:dyDescent="0.2">
      <c r="A26" s="239"/>
      <c r="B26" s="317"/>
    </row>
    <row r="27" spans="1:17" s="48" customFormat="1" x14ac:dyDescent="0.2">
      <c r="A27" s="49" t="s">
        <v>200</v>
      </c>
      <c r="B27" s="50"/>
      <c r="C27" s="51"/>
      <c r="D27" s="52"/>
      <c r="E27" s="53"/>
      <c r="F27" s="52"/>
      <c r="G27" s="53"/>
      <c r="H27" s="52"/>
      <c r="I27" s="53"/>
      <c r="J27" s="52"/>
      <c r="K27" s="53"/>
      <c r="L27" s="52"/>
      <c r="M27" s="51"/>
      <c r="N27" s="52"/>
    </row>
    <row r="28" spans="1:17" ht="27.75" customHeight="1" x14ac:dyDescent="0.2">
      <c r="A28" s="1758" t="s">
        <v>1203</v>
      </c>
      <c r="B28" s="1736"/>
      <c r="C28" s="1737"/>
      <c r="D28" s="1736"/>
      <c r="E28" s="1737"/>
      <c r="F28" s="1736"/>
      <c r="G28" s="1737"/>
      <c r="H28" s="1736"/>
      <c r="I28" s="1737"/>
      <c r="J28" s="1736"/>
      <c r="K28" s="1737"/>
      <c r="L28" s="1736"/>
      <c r="M28" s="1737"/>
      <c r="N28" s="1736"/>
      <c r="O28" s="54"/>
      <c r="P28" s="54"/>
      <c r="Q28" s="951"/>
    </row>
    <row r="29" spans="1:17" ht="27.75" customHeight="1" x14ac:dyDescent="0.2">
      <c r="A29" s="1758"/>
      <c r="B29" s="1736"/>
      <c r="C29" s="1737"/>
      <c r="D29" s="1736"/>
      <c r="E29" s="1737"/>
      <c r="F29" s="1736"/>
      <c r="G29" s="1737"/>
      <c r="H29" s="1736"/>
      <c r="I29" s="1737"/>
      <c r="J29" s="1736"/>
      <c r="K29" s="1737"/>
      <c r="L29" s="1736"/>
      <c r="M29" s="1737"/>
      <c r="N29" s="1736"/>
      <c r="O29" s="54"/>
      <c r="P29" s="54"/>
    </row>
    <row r="30" spans="1:17" ht="27.75" customHeight="1" x14ac:dyDescent="0.2">
      <c r="A30" s="1735"/>
      <c r="B30" s="1736"/>
      <c r="C30" s="1737"/>
      <c r="D30" s="1736"/>
      <c r="E30" s="1737"/>
      <c r="F30" s="1736"/>
      <c r="G30" s="1737"/>
      <c r="H30" s="1736"/>
      <c r="I30" s="1737"/>
      <c r="J30" s="1736"/>
      <c r="K30" s="1737"/>
      <c r="L30" s="1736"/>
      <c r="M30" s="1737"/>
      <c r="N30" s="1736"/>
      <c r="O30" s="54"/>
      <c r="P30" s="54"/>
    </row>
    <row r="31" spans="1:17" ht="27.75" customHeight="1" x14ac:dyDescent="0.2">
      <c r="A31" s="1735"/>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x14ac:dyDescent="0.2">
      <c r="A37" s="55"/>
      <c r="B37" s="54"/>
      <c r="C37" s="56"/>
      <c r="D37" s="54"/>
      <c r="E37" s="56"/>
      <c r="F37" s="54"/>
      <c r="G37" s="56"/>
      <c r="H37" s="54"/>
      <c r="I37" s="56"/>
      <c r="J37" s="54"/>
      <c r="K37" s="56"/>
      <c r="L37" s="54"/>
      <c r="M37" s="56"/>
      <c r="N37" s="54"/>
      <c r="O37" s="54"/>
      <c r="P37" s="54"/>
    </row>
    <row r="38" spans="1:17" x14ac:dyDescent="0.2">
      <c r="A38" s="55"/>
      <c r="B38" s="54"/>
      <c r="C38" s="54"/>
      <c r="D38" s="54"/>
      <c r="E38" s="54"/>
      <c r="F38" s="54"/>
      <c r="G38" s="54"/>
      <c r="H38" s="54"/>
      <c r="I38" s="54"/>
      <c r="J38" s="54"/>
      <c r="K38" s="54"/>
      <c r="L38" s="54"/>
      <c r="M38" s="54"/>
      <c r="N38" s="54"/>
      <c r="O38" s="54"/>
      <c r="P38" s="54"/>
    </row>
    <row r="39" spans="1:17" x14ac:dyDescent="0.2">
      <c r="A39" s="55"/>
      <c r="B39" s="54"/>
      <c r="C39" s="56"/>
      <c r="D39" s="54"/>
      <c r="E39" s="56"/>
      <c r="F39" s="54"/>
      <c r="G39" s="56"/>
      <c r="H39" s="54"/>
      <c r="I39" s="56"/>
      <c r="J39" s="54"/>
      <c r="K39" s="56"/>
      <c r="L39" s="54"/>
      <c r="M39" s="56"/>
      <c r="N39" s="54"/>
      <c r="O39" s="54"/>
      <c r="P39" s="54"/>
    </row>
    <row r="40" spans="1:17" x14ac:dyDescent="0.2">
      <c r="A40" s="55"/>
      <c r="B40" s="54"/>
      <c r="C40" s="54"/>
      <c r="D40" s="54"/>
      <c r="E40" s="54"/>
      <c r="F40" s="54"/>
      <c r="G40" s="54"/>
      <c r="H40" s="54"/>
      <c r="I40" s="54"/>
      <c r="J40" s="54"/>
      <c r="K40" s="54"/>
      <c r="L40" s="54"/>
      <c r="M40" s="54"/>
      <c r="N40" s="54"/>
      <c r="O40" s="54"/>
      <c r="P40" s="54"/>
    </row>
    <row r="41" spans="1:17" x14ac:dyDescent="0.2">
      <c r="A41" s="55"/>
      <c r="B41" s="54"/>
      <c r="C41" s="56"/>
      <c r="D41" s="54"/>
      <c r="E41" s="56"/>
      <c r="F41" s="54"/>
      <c r="G41" s="56"/>
      <c r="H41" s="54"/>
      <c r="I41" s="56"/>
      <c r="J41" s="54"/>
      <c r="K41" s="56"/>
      <c r="L41" s="54"/>
      <c r="M41" s="56"/>
      <c r="N41" s="54"/>
      <c r="O41" s="54"/>
      <c r="P41" s="54"/>
    </row>
    <row r="42" spans="1:17" x14ac:dyDescent="0.2">
      <c r="A42" s="55"/>
      <c r="B42" s="54"/>
      <c r="C42" s="54"/>
      <c r="D42" s="54"/>
      <c r="E42" s="54"/>
      <c r="F42" s="54"/>
      <c r="G42" s="54"/>
      <c r="H42" s="54"/>
      <c r="I42" s="54"/>
      <c r="J42" s="54"/>
      <c r="K42" s="54"/>
      <c r="L42" s="54"/>
      <c r="M42" s="54"/>
      <c r="N42" s="54"/>
      <c r="O42" s="54"/>
      <c r="P42" s="54"/>
    </row>
    <row r="43" spans="1:17" x14ac:dyDescent="0.2">
      <c r="A43" s="55"/>
      <c r="B43" s="54"/>
      <c r="C43" s="54"/>
      <c r="D43" s="54"/>
      <c r="E43" s="54"/>
      <c r="F43" s="54"/>
      <c r="G43" s="54"/>
      <c r="H43" s="54"/>
      <c r="I43" s="54"/>
      <c r="J43" s="54"/>
      <c r="K43" s="54"/>
      <c r="L43" s="54"/>
      <c r="M43" s="54"/>
      <c r="N43" s="54"/>
      <c r="O43" s="54"/>
      <c r="P43" s="54"/>
    </row>
    <row r="44" spans="1:17" x14ac:dyDescent="0.2">
      <c r="A44" s="55"/>
      <c r="B44" s="54"/>
      <c r="C44" s="54"/>
      <c r="D44" s="54"/>
      <c r="E44" s="54"/>
      <c r="F44" s="54"/>
      <c r="G44" s="54"/>
      <c r="H44" s="54"/>
      <c r="I44" s="54"/>
      <c r="J44" s="54"/>
      <c r="K44" s="54"/>
      <c r="L44" s="54"/>
      <c r="M44" s="54"/>
      <c r="N44" s="54"/>
      <c r="O44" s="54"/>
      <c r="P44" s="54"/>
      <c r="Q44" s="57"/>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sheetData>
  <mergeCells count="10">
    <mergeCell ref="A34:N34"/>
    <mergeCell ref="A35:N35"/>
    <mergeCell ref="A36:N36"/>
    <mergeCell ref="K2:K3"/>
    <mergeCell ref="A28:N28"/>
    <mergeCell ref="A29:N29"/>
    <mergeCell ref="A30:N30"/>
    <mergeCell ref="A31:N31"/>
    <mergeCell ref="A32:N32"/>
    <mergeCell ref="A33:N3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0">
    <pageSetUpPr fitToPage="1"/>
  </sheetPr>
  <dimension ref="A1:Q12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6.42578125" style="26" bestFit="1" customWidth="1"/>
    <col min="3" max="3" width="13.7109375" style="61" customWidth="1"/>
    <col min="4" max="4" width="3" style="61" customWidth="1"/>
    <col min="5" max="5" width="13.7109375" style="59" customWidth="1"/>
    <col min="6" max="6" width="3"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15.42578125" style="29" bestFit="1" customWidth="1"/>
    <col min="18" max="18" width="13.85546875" style="29" bestFit="1" customWidth="1"/>
    <col min="19"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1060</v>
      </c>
      <c r="C3" s="10" t="s">
        <v>1061</v>
      </c>
      <c r="D3" s="6"/>
      <c r="E3" s="11"/>
      <c r="F3" s="9"/>
      <c r="G3" s="11"/>
      <c r="H3" s="6"/>
      <c r="I3" s="11"/>
      <c r="J3" s="6"/>
      <c r="K3" s="1734"/>
      <c r="L3" s="6"/>
      <c r="M3" s="11"/>
      <c r="N3" s="6"/>
    </row>
    <row r="4" spans="1:16" s="4" customFormat="1" ht="15.75" x14ac:dyDescent="0.25">
      <c r="A4" s="1" t="s">
        <v>180</v>
      </c>
      <c r="B4" s="10" t="s">
        <v>642</v>
      </c>
      <c r="C4" s="10" t="s">
        <v>12</v>
      </c>
      <c r="D4" s="6"/>
      <c r="E4" s="11"/>
      <c r="F4" s="9"/>
      <c r="G4" s="11"/>
      <c r="H4" s="6"/>
      <c r="I4" s="11"/>
      <c r="J4" s="6"/>
      <c r="K4" s="11"/>
      <c r="L4" s="6"/>
      <c r="M4" s="11"/>
      <c r="N4" s="6"/>
    </row>
    <row r="5" spans="1:16" s="4" customFormat="1" ht="15.75" x14ac:dyDescent="0.2">
      <c r="A5" s="1" t="s">
        <v>183</v>
      </c>
      <c r="B5" s="12" t="s">
        <v>1204</v>
      </c>
      <c r="C5" s="12" t="s">
        <v>30</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1205</v>
      </c>
      <c r="B11" s="36"/>
      <c r="C11" s="273"/>
      <c r="D11" s="273"/>
      <c r="E11" s="273"/>
      <c r="F11" s="273"/>
      <c r="G11" s="273"/>
      <c r="H11" s="273"/>
      <c r="I11" s="273"/>
      <c r="J11" s="273"/>
    </row>
    <row r="12" spans="1:16" s="40" customFormat="1" x14ac:dyDescent="0.2">
      <c r="A12" s="41" t="s">
        <v>1206</v>
      </c>
      <c r="B12" s="39"/>
      <c r="C12" s="913">
        <v>693.91666666666663</v>
      </c>
      <c r="D12" s="778"/>
      <c r="E12" s="913">
        <v>628.2067376589589</v>
      </c>
      <c r="F12" s="778"/>
      <c r="G12" s="913">
        <v>570.68894824397364</v>
      </c>
      <c r="H12" s="404"/>
      <c r="I12" s="913">
        <v>570</v>
      </c>
      <c r="J12" s="404"/>
      <c r="K12" s="913">
        <v>512</v>
      </c>
      <c r="M12" s="76"/>
    </row>
    <row r="13" spans="1:16" s="40" customFormat="1" x14ac:dyDescent="0.2">
      <c r="A13" s="41" t="s">
        <v>1207</v>
      </c>
      <c r="B13" s="39"/>
      <c r="C13" s="913">
        <v>7416.416666666667</v>
      </c>
      <c r="D13" s="914"/>
      <c r="E13" s="913">
        <v>7647</v>
      </c>
      <c r="F13" s="404"/>
      <c r="G13" s="913">
        <v>7866.4153706883153</v>
      </c>
      <c r="H13" s="404"/>
      <c r="I13" s="913">
        <v>7735</v>
      </c>
      <c r="J13" s="404"/>
      <c r="K13" s="913">
        <v>7810</v>
      </c>
      <c r="M13" s="76"/>
    </row>
    <row r="14" spans="1:16" s="40" customFormat="1" x14ac:dyDescent="0.2">
      <c r="A14" s="41" t="s">
        <v>1208</v>
      </c>
      <c r="B14" s="39"/>
      <c r="C14" s="913">
        <v>13926.416666666666</v>
      </c>
      <c r="D14" s="914"/>
      <c r="E14" s="913">
        <v>14886</v>
      </c>
      <c r="F14" s="404"/>
      <c r="G14" s="913">
        <v>15684.052156333497</v>
      </c>
      <c r="H14" s="404"/>
      <c r="I14" s="913">
        <v>15984</v>
      </c>
      <c r="J14" s="404"/>
      <c r="K14" s="913">
        <v>17130</v>
      </c>
      <c r="M14" s="76"/>
    </row>
    <row r="15" spans="1:16" s="40" customFormat="1" x14ac:dyDescent="0.2">
      <c r="A15" s="90"/>
      <c r="B15" s="39"/>
      <c r="C15" s="915"/>
      <c r="D15" s="404"/>
      <c r="E15" s="916"/>
      <c r="F15" s="404"/>
      <c r="G15" s="404"/>
      <c r="H15" s="404"/>
      <c r="I15" s="404"/>
      <c r="J15" s="404"/>
      <c r="K15" s="404"/>
      <c r="M15" s="917"/>
    </row>
    <row r="16" spans="1:16" s="40" customFormat="1" x14ac:dyDescent="0.2">
      <c r="A16" s="35" t="s">
        <v>1209</v>
      </c>
      <c r="B16" s="36"/>
      <c r="C16" s="915"/>
      <c r="D16" s="404"/>
      <c r="E16" s="916"/>
      <c r="F16" s="404"/>
      <c r="G16" s="404"/>
      <c r="H16" s="404"/>
      <c r="I16" s="404"/>
      <c r="J16" s="404"/>
      <c r="K16" s="404"/>
      <c r="M16" s="97"/>
    </row>
    <row r="17" spans="1:13" s="40" customFormat="1" x14ac:dyDescent="0.2">
      <c r="A17" s="688" t="s">
        <v>1210</v>
      </c>
      <c r="B17" s="39"/>
      <c r="C17" s="915"/>
      <c r="D17" s="404"/>
      <c r="E17" s="916"/>
      <c r="F17" s="404"/>
      <c r="G17" s="404"/>
      <c r="H17" s="404"/>
      <c r="I17" s="404"/>
      <c r="J17" s="404"/>
      <c r="K17" s="404"/>
      <c r="M17" s="76"/>
    </row>
    <row r="18" spans="1:13" s="40" customFormat="1" x14ac:dyDescent="0.2">
      <c r="A18" s="90" t="s">
        <v>1211</v>
      </c>
      <c r="B18" s="39"/>
      <c r="C18" s="918">
        <v>10922</v>
      </c>
      <c r="D18" s="918"/>
      <c r="E18" s="919">
        <v>11000</v>
      </c>
      <c r="F18" s="919"/>
      <c r="G18" s="920">
        <v>11300</v>
      </c>
      <c r="H18" s="404"/>
      <c r="I18" s="920">
        <v>11250</v>
      </c>
      <c r="J18" s="404"/>
      <c r="K18" s="920">
        <v>11500</v>
      </c>
      <c r="M18" s="62"/>
    </row>
    <row r="19" spans="1:13" s="40" customFormat="1" x14ac:dyDescent="0.2">
      <c r="A19" s="90" t="s">
        <v>1212</v>
      </c>
      <c r="B19" s="39"/>
      <c r="C19" s="921">
        <v>89266</v>
      </c>
      <c r="D19" s="921"/>
      <c r="E19" s="921">
        <v>91835</v>
      </c>
      <c r="F19" s="921"/>
      <c r="G19" s="921">
        <v>97299</v>
      </c>
      <c r="H19" s="404"/>
      <c r="I19" s="921">
        <v>97690</v>
      </c>
      <c r="J19" s="404"/>
      <c r="K19" s="921">
        <v>98548</v>
      </c>
      <c r="M19" s="97"/>
    </row>
    <row r="20" spans="1:13" s="40" customFormat="1" x14ac:dyDescent="0.2">
      <c r="A20" s="90" t="s">
        <v>1213</v>
      </c>
      <c r="B20" s="39"/>
      <c r="C20" s="922">
        <f>C18*C19</f>
        <v>974963252</v>
      </c>
      <c r="D20" s="922"/>
      <c r="E20" s="922">
        <f>E18*E19</f>
        <v>1010185000</v>
      </c>
      <c r="F20" s="922"/>
      <c r="G20" s="923">
        <f>G18*G19</f>
        <v>1099478700</v>
      </c>
      <c r="H20" s="404"/>
      <c r="I20" s="923">
        <f>I18*I19</f>
        <v>1099012500</v>
      </c>
      <c r="J20" s="923"/>
      <c r="K20" s="923">
        <f>K18*K19</f>
        <v>1133302000</v>
      </c>
      <c r="M20" s="97"/>
    </row>
    <row r="21" spans="1:13" s="40" customFormat="1" ht="6.75" customHeight="1" x14ac:dyDescent="0.2">
      <c r="A21" s="90"/>
      <c r="B21" s="39"/>
      <c r="C21" s="915"/>
      <c r="D21" s="404"/>
      <c r="E21" s="916"/>
      <c r="F21" s="404"/>
      <c r="G21" s="404"/>
      <c r="H21" s="404"/>
      <c r="I21" s="404"/>
      <c r="J21" s="404"/>
      <c r="K21" s="404"/>
      <c r="M21" s="76"/>
    </row>
    <row r="22" spans="1:13" s="40" customFormat="1" x14ac:dyDescent="0.2">
      <c r="A22" s="688" t="s">
        <v>1214</v>
      </c>
      <c r="B22" s="924"/>
      <c r="C22" s="915"/>
      <c r="D22" s="404"/>
      <c r="E22" s="916"/>
      <c r="F22" s="404"/>
      <c r="G22" s="404"/>
      <c r="H22" s="404"/>
      <c r="I22" s="404"/>
      <c r="J22" s="404"/>
      <c r="K22" s="404"/>
      <c r="M22" s="97"/>
    </row>
    <row r="23" spans="1:13" s="40" customFormat="1" x14ac:dyDescent="0.2">
      <c r="A23" s="90" t="s">
        <v>1067</v>
      </c>
      <c r="B23" s="39"/>
      <c r="C23" s="925">
        <v>120</v>
      </c>
      <c r="D23" s="404"/>
      <c r="E23" s="926">
        <v>874</v>
      </c>
      <c r="F23" s="926"/>
      <c r="G23" s="927">
        <v>5167</v>
      </c>
      <c r="H23" s="404"/>
      <c r="I23" s="927">
        <v>4586</v>
      </c>
      <c r="J23" s="404"/>
      <c r="K23" s="927">
        <v>8625</v>
      </c>
      <c r="M23" s="62"/>
    </row>
    <row r="24" spans="1:13" s="40" customFormat="1" x14ac:dyDescent="0.2">
      <c r="A24" s="90" t="s">
        <v>1215</v>
      </c>
      <c r="B24" s="39"/>
      <c r="C24" s="921">
        <v>17119</v>
      </c>
      <c r="D24" s="928"/>
      <c r="E24" s="921">
        <v>20457</v>
      </c>
      <c r="F24" s="921"/>
      <c r="G24" s="923">
        <v>23794</v>
      </c>
      <c r="H24" s="404"/>
      <c r="I24" s="923">
        <v>18433</v>
      </c>
      <c r="J24" s="404"/>
      <c r="K24" s="923">
        <v>19678</v>
      </c>
      <c r="M24" s="97"/>
    </row>
    <row r="25" spans="1:13" s="40" customFormat="1" x14ac:dyDescent="0.2">
      <c r="A25" s="90" t="s">
        <v>1216</v>
      </c>
      <c r="B25" s="39"/>
      <c r="C25" s="921">
        <f>C23*C24</f>
        <v>2054280</v>
      </c>
      <c r="D25" s="928"/>
      <c r="E25" s="921">
        <f>E23*E24</f>
        <v>17879418</v>
      </c>
      <c r="F25" s="921"/>
      <c r="G25" s="929">
        <f>G23*G24</f>
        <v>122943598</v>
      </c>
      <c r="H25" s="404"/>
      <c r="I25" s="929">
        <f>I23*I24</f>
        <v>84533738</v>
      </c>
      <c r="J25" s="404"/>
      <c r="K25" s="929">
        <f>K23*K24</f>
        <v>169722750</v>
      </c>
      <c r="M25" s="97"/>
    </row>
    <row r="26" spans="1:13" s="40" customFormat="1" ht="8.25" customHeight="1" x14ac:dyDescent="0.2">
      <c r="A26" s="131"/>
      <c r="B26" s="39"/>
      <c r="C26" s="915"/>
      <c r="D26" s="404"/>
      <c r="E26" s="916"/>
      <c r="F26" s="404"/>
      <c r="G26" s="404"/>
      <c r="H26" s="404"/>
      <c r="I26" s="404"/>
      <c r="J26" s="404"/>
      <c r="K26" s="404"/>
      <c r="M26" s="97"/>
    </row>
    <row r="27" spans="1:13" s="40" customFormat="1" x14ac:dyDescent="0.2">
      <c r="A27" s="35" t="s">
        <v>1217</v>
      </c>
      <c r="B27" s="924"/>
      <c r="C27" s="915"/>
      <c r="D27" s="404"/>
      <c r="E27" s="916"/>
      <c r="F27" s="404"/>
      <c r="G27" s="404"/>
      <c r="H27" s="404"/>
      <c r="I27" s="404"/>
      <c r="J27" s="404"/>
      <c r="K27" s="404"/>
      <c r="M27" s="76"/>
    </row>
    <row r="28" spans="1:13" s="40" customFormat="1" x14ac:dyDescent="0.2">
      <c r="A28" s="41" t="s">
        <v>1218</v>
      </c>
      <c r="B28" s="39"/>
      <c r="C28" s="930">
        <v>7</v>
      </c>
      <c r="D28" s="404"/>
      <c r="E28" s="931">
        <v>27</v>
      </c>
      <c r="F28" s="931"/>
      <c r="G28" s="932">
        <v>58.849658314350805</v>
      </c>
      <c r="H28" s="404"/>
      <c r="I28" s="932">
        <v>159</v>
      </c>
      <c r="J28" s="404"/>
      <c r="K28" s="932">
        <v>438</v>
      </c>
      <c r="M28" s="62"/>
    </row>
    <row r="29" spans="1:13" s="40" customFormat="1" x14ac:dyDescent="0.2">
      <c r="A29" s="41" t="s">
        <v>1219</v>
      </c>
      <c r="B29" s="39"/>
      <c r="C29" s="930">
        <v>25</v>
      </c>
      <c r="D29" s="914"/>
      <c r="E29" s="931">
        <v>49</v>
      </c>
      <c r="F29" s="931"/>
      <c r="G29" s="932">
        <v>164.77904328018224</v>
      </c>
      <c r="H29" s="404"/>
      <c r="I29" s="932">
        <v>191</v>
      </c>
      <c r="J29" s="404"/>
      <c r="K29" s="932">
        <v>528</v>
      </c>
      <c r="M29" s="62"/>
    </row>
    <row r="30" spans="1:13" s="40" customFormat="1" x14ac:dyDescent="0.2">
      <c r="A30" s="41" t="s">
        <v>1220</v>
      </c>
      <c r="B30" s="39"/>
      <c r="C30" s="930">
        <v>2</v>
      </c>
      <c r="D30" s="914"/>
      <c r="E30" s="931">
        <v>149</v>
      </c>
      <c r="F30" s="931"/>
      <c r="G30" s="932">
        <v>168.70235383447226</v>
      </c>
      <c r="H30" s="404"/>
      <c r="I30" s="932">
        <v>1377</v>
      </c>
      <c r="J30" s="404"/>
      <c r="K30" s="932">
        <v>3800</v>
      </c>
      <c r="M30" s="62"/>
    </row>
    <row r="31" spans="1:13" s="40" customFormat="1" x14ac:dyDescent="0.2">
      <c r="A31" s="41" t="s">
        <v>1221</v>
      </c>
      <c r="B31" s="39"/>
      <c r="C31" s="930">
        <v>75</v>
      </c>
      <c r="D31" s="933"/>
      <c r="E31" s="931">
        <v>460</v>
      </c>
      <c r="F31" s="931"/>
      <c r="G31" s="931">
        <v>8286.5336956521769</v>
      </c>
      <c r="H31" s="404"/>
      <c r="I31" s="931">
        <v>3590</v>
      </c>
      <c r="J31" s="404"/>
      <c r="K31" s="931">
        <v>9909</v>
      </c>
      <c r="M31" s="62"/>
    </row>
    <row r="32" spans="1:13" s="40" customFormat="1" x14ac:dyDescent="0.2">
      <c r="A32" s="41" t="s">
        <v>1222</v>
      </c>
      <c r="B32" s="39"/>
      <c r="C32" s="930">
        <v>0</v>
      </c>
      <c r="D32" s="933"/>
      <c r="E32" s="931">
        <v>0</v>
      </c>
      <c r="F32" s="931"/>
      <c r="G32" s="932">
        <v>329.55808656036447</v>
      </c>
      <c r="H32" s="404"/>
      <c r="I32" s="932">
        <v>517</v>
      </c>
      <c r="J32" s="404"/>
      <c r="K32" s="932">
        <v>5174</v>
      </c>
      <c r="M32" s="62"/>
    </row>
    <row r="33" spans="1:13" s="40" customFormat="1" x14ac:dyDescent="0.2">
      <c r="A33" s="41" t="s">
        <v>1223</v>
      </c>
      <c r="B33" s="39"/>
      <c r="C33" s="930">
        <v>201</v>
      </c>
      <c r="D33" s="933"/>
      <c r="E33" s="931">
        <v>271</v>
      </c>
      <c r="F33" s="931"/>
      <c r="G33" s="931">
        <v>473.501418727199</v>
      </c>
      <c r="H33" s="404"/>
      <c r="I33" s="931">
        <v>1171</v>
      </c>
      <c r="J33" s="404" t="s">
        <v>352</v>
      </c>
      <c r="K33" s="931">
        <v>3231</v>
      </c>
      <c r="M33" s="62"/>
    </row>
    <row r="34" spans="1:13" s="40" customFormat="1" x14ac:dyDescent="0.2">
      <c r="A34" s="41" t="s">
        <v>1224</v>
      </c>
      <c r="B34" s="39"/>
      <c r="C34" s="930">
        <v>63</v>
      </c>
      <c r="D34" s="933"/>
      <c r="E34" s="931">
        <v>711</v>
      </c>
      <c r="F34" s="931"/>
      <c r="G34" s="931"/>
      <c r="H34" s="404"/>
      <c r="I34" s="931">
        <v>6340</v>
      </c>
      <c r="J34" s="404"/>
      <c r="K34" s="931">
        <v>18534</v>
      </c>
      <c r="M34" s="62"/>
    </row>
    <row r="35" spans="1:13" s="40" customFormat="1" x14ac:dyDescent="0.2">
      <c r="A35" s="41" t="s">
        <v>1225</v>
      </c>
      <c r="B35" s="39"/>
      <c r="C35" s="930">
        <v>6</v>
      </c>
      <c r="D35" s="933"/>
      <c r="E35" s="931">
        <v>29</v>
      </c>
      <c r="F35" s="931"/>
      <c r="G35" s="931"/>
      <c r="H35" s="404"/>
      <c r="I35" s="931">
        <v>301</v>
      </c>
      <c r="J35" s="404"/>
      <c r="K35" s="931">
        <v>831</v>
      </c>
      <c r="M35" s="62"/>
    </row>
    <row r="36" spans="1:13" s="40" customFormat="1" x14ac:dyDescent="0.2">
      <c r="A36" s="41" t="s">
        <v>98</v>
      </c>
      <c r="B36" s="39"/>
      <c r="C36" s="930">
        <v>339</v>
      </c>
      <c r="D36" s="933"/>
      <c r="E36" s="931">
        <v>425</v>
      </c>
      <c r="F36" s="931"/>
      <c r="G36" s="931"/>
      <c r="H36" s="404"/>
      <c r="I36" s="931">
        <v>1677</v>
      </c>
      <c r="J36" s="404"/>
      <c r="K36" s="931">
        <v>4628</v>
      </c>
      <c r="M36" s="62"/>
    </row>
    <row r="37" spans="1:13" s="40" customFormat="1" ht="7.5" customHeight="1" x14ac:dyDescent="0.2">
      <c r="A37" s="90"/>
      <c r="B37" s="39"/>
      <c r="C37" s="915"/>
      <c r="D37" s="404"/>
      <c r="E37" s="916"/>
      <c r="F37" s="404"/>
      <c r="G37" s="404"/>
      <c r="H37" s="404"/>
      <c r="I37" s="404"/>
      <c r="J37" s="404"/>
      <c r="K37" s="404"/>
      <c r="M37" s="65"/>
    </row>
    <row r="38" spans="1:13" s="40" customFormat="1" x14ac:dyDescent="0.2">
      <c r="A38" s="35" t="s">
        <v>1226</v>
      </c>
      <c r="B38" s="924"/>
      <c r="C38" s="915"/>
      <c r="D38" s="404"/>
      <c r="E38" s="916"/>
      <c r="F38" s="404"/>
      <c r="G38" s="404"/>
      <c r="H38" s="404"/>
      <c r="I38" s="404"/>
      <c r="J38" s="404"/>
      <c r="K38" s="404"/>
      <c r="M38" s="76"/>
    </row>
    <row r="39" spans="1:13" s="40" customFormat="1" x14ac:dyDescent="0.2">
      <c r="A39" s="688" t="s">
        <v>1227</v>
      </c>
      <c r="B39" s="39"/>
      <c r="C39" s="915"/>
      <c r="D39" s="404"/>
      <c r="E39" s="934"/>
      <c r="F39" s="404"/>
      <c r="G39" s="404"/>
      <c r="H39" s="404"/>
      <c r="I39" s="404"/>
      <c r="J39" s="404"/>
      <c r="K39" s="404"/>
      <c r="M39" s="62"/>
    </row>
    <row r="40" spans="1:13" s="40" customFormat="1" x14ac:dyDescent="0.2">
      <c r="A40" s="90" t="s">
        <v>1228</v>
      </c>
      <c r="B40" s="39"/>
      <c r="C40" s="932">
        <v>3201</v>
      </c>
      <c r="D40" s="933"/>
      <c r="E40" s="935">
        <v>2830</v>
      </c>
      <c r="F40" s="935"/>
      <c r="G40" s="935">
        <v>2941</v>
      </c>
      <c r="H40" s="404"/>
      <c r="I40" s="935">
        <v>2700</v>
      </c>
      <c r="J40" s="404"/>
      <c r="K40" s="935">
        <v>2500</v>
      </c>
      <c r="M40" s="62"/>
    </row>
    <row r="41" spans="1:13" s="40" customFormat="1" x14ac:dyDescent="0.2">
      <c r="A41" s="90" t="s">
        <v>1229</v>
      </c>
      <c r="B41" s="39"/>
      <c r="C41" s="921">
        <v>24269323</v>
      </c>
      <c r="D41" s="914"/>
      <c r="E41" s="921">
        <v>29112578</v>
      </c>
      <c r="F41" s="936"/>
      <c r="G41" s="921">
        <v>10000000</v>
      </c>
      <c r="H41" s="404"/>
      <c r="I41" s="921">
        <v>32617150</v>
      </c>
      <c r="J41" s="404"/>
      <c r="K41" s="921">
        <v>33679921</v>
      </c>
      <c r="M41" s="97"/>
    </row>
    <row r="42" spans="1:13" s="40" customFormat="1" x14ac:dyDescent="0.2">
      <c r="A42" s="90"/>
      <c r="B42" s="39"/>
      <c r="C42" s="937"/>
      <c r="D42" s="914"/>
      <c r="E42" s="938"/>
      <c r="F42" s="938"/>
      <c r="G42" s="938"/>
      <c r="H42" s="404"/>
      <c r="I42" s="938"/>
      <c r="J42" s="404"/>
      <c r="K42" s="938"/>
      <c r="M42" s="97"/>
    </row>
    <row r="43" spans="1:13" s="40" customFormat="1" x14ac:dyDescent="0.2">
      <c r="A43" s="688" t="s">
        <v>1230</v>
      </c>
      <c r="B43" s="39"/>
      <c r="C43" s="938"/>
      <c r="D43" s="914"/>
      <c r="E43" s="938"/>
      <c r="F43" s="938"/>
      <c r="G43" s="938"/>
      <c r="H43" s="404"/>
      <c r="I43" s="938"/>
      <c r="J43" s="404"/>
      <c r="K43" s="938"/>
      <c r="M43" s="97"/>
    </row>
    <row r="44" spans="1:13" s="40" customFormat="1" x14ac:dyDescent="0.2">
      <c r="A44" s="90" t="s">
        <v>1231</v>
      </c>
      <c r="B44" s="39"/>
      <c r="C44" s="939">
        <v>62</v>
      </c>
      <c r="D44" s="933"/>
      <c r="E44" s="935">
        <v>21</v>
      </c>
      <c r="F44" s="935"/>
      <c r="G44" s="927">
        <v>54</v>
      </c>
      <c r="H44" s="404"/>
      <c r="I44" s="927">
        <v>35</v>
      </c>
      <c r="J44" s="404"/>
      <c r="K44" s="927">
        <v>13</v>
      </c>
      <c r="M44" s="62"/>
    </row>
    <row r="45" spans="1:13" s="40" customFormat="1" x14ac:dyDescent="0.2">
      <c r="A45" s="90" t="s">
        <v>1232</v>
      </c>
      <c r="B45" s="39"/>
      <c r="C45" s="921">
        <v>160000</v>
      </c>
      <c r="D45" s="768"/>
      <c r="E45" s="921">
        <v>177456</v>
      </c>
      <c r="F45" s="921"/>
      <c r="G45" s="921">
        <v>160000</v>
      </c>
      <c r="H45" s="404"/>
      <c r="I45" s="921">
        <v>186532</v>
      </c>
      <c r="J45" s="404"/>
      <c r="K45" s="921">
        <v>184059</v>
      </c>
      <c r="M45" s="97"/>
    </row>
    <row r="46" spans="1:13" s="40" customFormat="1" x14ac:dyDescent="0.2">
      <c r="A46" s="90" t="s">
        <v>1229</v>
      </c>
      <c r="B46" s="39"/>
      <c r="C46" s="921">
        <f>C44*C45</f>
        <v>9920000</v>
      </c>
      <c r="D46" s="768"/>
      <c r="E46" s="921">
        <f>E44*E45</f>
        <v>3726576</v>
      </c>
      <c r="F46" s="921"/>
      <c r="G46" s="921">
        <f>G44*G45</f>
        <v>8640000</v>
      </c>
      <c r="H46" s="404"/>
      <c r="I46" s="921">
        <f>I44*I45</f>
        <v>6528620</v>
      </c>
      <c r="J46" s="404"/>
      <c r="K46" s="921">
        <f>K44*K45</f>
        <v>2392767</v>
      </c>
      <c r="M46" s="97"/>
    </row>
    <row r="47" spans="1:13" s="40" customFormat="1" x14ac:dyDescent="0.2">
      <c r="A47" s="90"/>
      <c r="B47" s="39"/>
      <c r="C47" s="915"/>
      <c r="D47" s="404"/>
      <c r="E47" s="916"/>
      <c r="F47" s="404"/>
      <c r="G47" s="404"/>
      <c r="H47" s="404"/>
      <c r="I47" s="404"/>
      <c r="J47" s="404"/>
      <c r="K47" s="404"/>
      <c r="M47" s="97"/>
    </row>
    <row r="48" spans="1:13" s="37" customFormat="1" x14ac:dyDescent="0.2">
      <c r="A48" s="688" t="s">
        <v>1233</v>
      </c>
      <c r="B48" s="36"/>
      <c r="C48" s="915" t="s">
        <v>352</v>
      </c>
      <c r="D48" s="273"/>
      <c r="E48" s="940" t="s">
        <v>352</v>
      </c>
      <c r="F48" s="273"/>
      <c r="G48" s="941">
        <v>2400</v>
      </c>
      <c r="H48" s="273"/>
      <c r="I48" s="941" t="s">
        <v>352</v>
      </c>
      <c r="J48" s="273"/>
      <c r="K48" s="941" t="s">
        <v>352</v>
      </c>
      <c r="M48" s="610"/>
    </row>
    <row r="49" spans="1:13" s="37" customFormat="1" x14ac:dyDescent="0.2">
      <c r="A49" s="90" t="s">
        <v>1234</v>
      </c>
      <c r="B49" s="36"/>
      <c r="C49" s="915">
        <v>101</v>
      </c>
      <c r="D49" s="273"/>
      <c r="E49" s="940">
        <v>320</v>
      </c>
      <c r="F49" s="273"/>
      <c r="G49" s="941"/>
      <c r="H49" s="273"/>
      <c r="I49" s="941">
        <v>6975</v>
      </c>
      <c r="J49" s="273"/>
      <c r="K49" s="941">
        <v>7851</v>
      </c>
      <c r="M49" s="610"/>
    </row>
    <row r="50" spans="1:13" s="37" customFormat="1" x14ac:dyDescent="0.2">
      <c r="A50" s="90" t="s">
        <v>1229</v>
      </c>
      <c r="B50" s="36"/>
      <c r="C50" s="921">
        <v>900192</v>
      </c>
      <c r="D50" s="768"/>
      <c r="E50" s="921">
        <v>2789422</v>
      </c>
      <c r="F50" s="921"/>
      <c r="G50" s="921"/>
      <c r="H50" s="404"/>
      <c r="I50" s="921">
        <v>16087210</v>
      </c>
      <c r="J50" s="921"/>
      <c r="K50" s="921">
        <v>38967173</v>
      </c>
      <c r="M50" s="615"/>
    </row>
    <row r="51" spans="1:13" s="40" customFormat="1" ht="8.25" customHeight="1" x14ac:dyDescent="0.2">
      <c r="A51" s="41"/>
      <c r="B51" s="39"/>
      <c r="C51" s="915"/>
      <c r="D51" s="404"/>
      <c r="E51" s="916"/>
      <c r="F51" s="404"/>
      <c r="G51" s="404"/>
      <c r="H51" s="404"/>
      <c r="I51" s="404"/>
      <c r="J51" s="404"/>
      <c r="K51" s="404"/>
      <c r="M51" s="93"/>
    </row>
    <row r="52" spans="1:13" s="40" customFormat="1" x14ac:dyDescent="0.2">
      <c r="A52" s="688" t="s">
        <v>1235</v>
      </c>
      <c r="B52" s="942"/>
      <c r="C52" s="915"/>
      <c r="D52" s="404"/>
      <c r="E52" s="916"/>
      <c r="F52" s="404"/>
      <c r="G52" s="404"/>
      <c r="H52" s="404"/>
      <c r="I52" s="404"/>
      <c r="J52" s="404"/>
      <c r="K52" s="404"/>
      <c r="M52" s="97"/>
    </row>
    <row r="53" spans="1:13" s="40" customFormat="1" x14ac:dyDescent="0.2">
      <c r="A53" s="90" t="s">
        <v>1236</v>
      </c>
      <c r="B53" s="39"/>
      <c r="C53" s="943">
        <v>352</v>
      </c>
      <c r="D53" s="404"/>
      <c r="E53" s="943">
        <v>344</v>
      </c>
      <c r="F53" s="938"/>
      <c r="G53" s="944">
        <v>342</v>
      </c>
      <c r="H53" s="404"/>
      <c r="I53" s="944">
        <v>342</v>
      </c>
      <c r="J53" s="404"/>
      <c r="K53" s="944">
        <v>340</v>
      </c>
      <c r="M53" s="71"/>
    </row>
    <row r="54" spans="1:13" s="40" customFormat="1" x14ac:dyDescent="0.2">
      <c r="A54" s="90" t="s">
        <v>1232</v>
      </c>
      <c r="B54" s="39"/>
      <c r="C54" s="921">
        <v>130458</v>
      </c>
      <c r="D54" s="928"/>
      <c r="E54" s="921">
        <v>134282</v>
      </c>
      <c r="F54" s="921"/>
      <c r="G54" s="929">
        <v>135702</v>
      </c>
      <c r="H54" s="404"/>
      <c r="I54" s="929">
        <v>135327</v>
      </c>
      <c r="J54" s="404"/>
      <c r="K54" s="929">
        <v>135327</v>
      </c>
      <c r="M54" s="97"/>
    </row>
    <row r="55" spans="1:13" s="40" customFormat="1" x14ac:dyDescent="0.2">
      <c r="A55" s="90" t="s">
        <v>1237</v>
      </c>
      <c r="B55" s="39"/>
      <c r="C55" s="921">
        <f>C53*C54</f>
        <v>45921216</v>
      </c>
      <c r="D55" s="928"/>
      <c r="E55" s="921">
        <f>E53*E54</f>
        <v>46193008</v>
      </c>
      <c r="F55" s="921"/>
      <c r="G55" s="945">
        <f>G53*G54</f>
        <v>46410084</v>
      </c>
      <c r="H55" s="404"/>
      <c r="I55" s="945">
        <f>I53*I54</f>
        <v>46281834</v>
      </c>
      <c r="J55" s="404"/>
      <c r="K55" s="945">
        <f>K53*K54</f>
        <v>46011180</v>
      </c>
      <c r="M55" s="97"/>
    </row>
    <row r="56" spans="1:13" s="40" customFormat="1" ht="6.75" customHeight="1" x14ac:dyDescent="0.2">
      <c r="A56" s="90"/>
      <c r="B56" s="39"/>
      <c r="C56" s="915"/>
      <c r="D56" s="404"/>
      <c r="E56" s="916"/>
      <c r="F56" s="404"/>
      <c r="G56" s="404"/>
      <c r="H56" s="404"/>
      <c r="I56" s="404"/>
      <c r="J56" s="404"/>
      <c r="M56" s="97"/>
    </row>
    <row r="57" spans="1:13" s="40" customFormat="1" x14ac:dyDescent="0.2">
      <c r="A57" s="90"/>
      <c r="B57" s="39"/>
      <c r="C57" s="946"/>
      <c r="D57" s="404"/>
      <c r="E57" s="404"/>
      <c r="F57" s="404"/>
      <c r="G57" s="404"/>
      <c r="H57" s="404"/>
      <c r="I57" s="404"/>
      <c r="J57" s="404"/>
      <c r="M57" s="64"/>
    </row>
    <row r="58" spans="1:13" s="37" customFormat="1" x14ac:dyDescent="0.2">
      <c r="A58" s="35" t="s">
        <v>194</v>
      </c>
      <c r="B58" s="36"/>
      <c r="C58" s="447"/>
    </row>
    <row r="59" spans="1:13" s="37" customFormat="1" x14ac:dyDescent="0.2">
      <c r="A59" s="35" t="s">
        <v>195</v>
      </c>
      <c r="B59" s="36"/>
      <c r="C59" s="447"/>
    </row>
    <row r="60" spans="1:13" s="40" customFormat="1" ht="15" x14ac:dyDescent="0.25">
      <c r="A60" s="38" t="s">
        <v>1238</v>
      </c>
      <c r="B60" s="39"/>
      <c r="C60" s="947"/>
      <c r="E60" s="947"/>
      <c r="F60" s="948"/>
      <c r="G60" s="947"/>
      <c r="I60" s="947"/>
      <c r="M60" s="463"/>
    </row>
    <row r="61" spans="1:13" s="40" customFormat="1" ht="15" x14ac:dyDescent="0.25">
      <c r="A61" s="41" t="s">
        <v>197</v>
      </c>
      <c r="B61" s="39"/>
      <c r="C61" s="949">
        <v>359</v>
      </c>
      <c r="E61" s="950">
        <v>317</v>
      </c>
      <c r="F61" s="950"/>
      <c r="G61" s="950">
        <v>353</v>
      </c>
      <c r="I61" s="950">
        <v>328</v>
      </c>
      <c r="K61" s="42">
        <v>331</v>
      </c>
      <c r="M61" s="62"/>
    </row>
    <row r="62" spans="1:13" s="40" customFormat="1" ht="15" x14ac:dyDescent="0.25">
      <c r="A62" s="41" t="s">
        <v>261</v>
      </c>
      <c r="B62" s="39"/>
      <c r="C62" s="949">
        <v>450</v>
      </c>
      <c r="E62" s="950">
        <v>412</v>
      </c>
      <c r="F62" s="950"/>
      <c r="G62" s="950">
        <v>392</v>
      </c>
      <c r="I62" s="950">
        <v>404</v>
      </c>
      <c r="K62" s="42">
        <v>403</v>
      </c>
      <c r="M62" s="62"/>
    </row>
    <row r="63" spans="1:13" s="40" customFormat="1" ht="15" x14ac:dyDescent="0.25">
      <c r="A63" s="41" t="s">
        <v>198</v>
      </c>
      <c r="B63" s="39"/>
      <c r="C63" s="949">
        <f>SUM(C61:C62)</f>
        <v>809</v>
      </c>
      <c r="E63" s="950">
        <f>SUM(E61:E62)</f>
        <v>729</v>
      </c>
      <c r="F63" s="950"/>
      <c r="G63" s="950">
        <f>SUM(G61:G62)</f>
        <v>745</v>
      </c>
      <c r="I63" s="950">
        <f>SUM(I61:I62)</f>
        <v>732</v>
      </c>
      <c r="K63" s="42">
        <v>734</v>
      </c>
      <c r="M63" s="632"/>
    </row>
    <row r="64" spans="1:13" s="40" customFormat="1" ht="15" x14ac:dyDescent="0.25">
      <c r="A64" s="38" t="s">
        <v>1239</v>
      </c>
      <c r="B64" s="39"/>
      <c r="C64" s="949"/>
      <c r="E64" s="950"/>
      <c r="F64" s="950"/>
      <c r="G64" s="950"/>
      <c r="I64" s="950"/>
      <c r="M64" s="63"/>
    </row>
    <row r="65" spans="1:17" s="40" customFormat="1" ht="15" x14ac:dyDescent="0.25">
      <c r="A65" s="41" t="s">
        <v>982</v>
      </c>
      <c r="B65" s="39"/>
      <c r="C65" s="949">
        <v>607</v>
      </c>
      <c r="E65" s="950">
        <v>537</v>
      </c>
      <c r="F65" s="950"/>
      <c r="G65" s="950">
        <v>659</v>
      </c>
      <c r="I65" s="950">
        <v>526</v>
      </c>
      <c r="K65" s="42">
        <v>527</v>
      </c>
      <c r="M65" s="62"/>
    </row>
    <row r="66" spans="1:17" s="40" customFormat="1" ht="15" x14ac:dyDescent="0.25">
      <c r="A66" s="41" t="s">
        <v>263</v>
      </c>
      <c r="B66" s="39"/>
      <c r="C66" s="949">
        <v>202</v>
      </c>
      <c r="E66" s="950">
        <v>192</v>
      </c>
      <c r="F66" s="950"/>
      <c r="G66" s="950">
        <v>86</v>
      </c>
      <c r="I66" s="950">
        <v>206</v>
      </c>
      <c r="K66" s="42">
        <v>207</v>
      </c>
      <c r="M66" s="62"/>
    </row>
    <row r="67" spans="1:17" s="40" customFormat="1" ht="15" x14ac:dyDescent="0.25">
      <c r="A67" s="41" t="s">
        <v>198</v>
      </c>
      <c r="B67" s="39"/>
      <c r="C67" s="949">
        <f>SUM(C65:C66)</f>
        <v>809</v>
      </c>
      <c r="D67" s="37"/>
      <c r="E67" s="950">
        <f>SUM(E65:E66)</f>
        <v>729</v>
      </c>
      <c r="F67" s="950"/>
      <c r="G67" s="950">
        <f>SUM(G65:G66)</f>
        <v>745</v>
      </c>
      <c r="I67" s="950">
        <f>SUM(I65:I66)</f>
        <v>732</v>
      </c>
      <c r="K67" s="42">
        <f>SUM(K65:K66)</f>
        <v>734</v>
      </c>
      <c r="M67" s="632"/>
    </row>
    <row r="68" spans="1:17" s="37" customFormat="1" x14ac:dyDescent="0.2">
      <c r="A68" s="35"/>
      <c r="B68" s="36"/>
    </row>
    <row r="69" spans="1:17" s="48" customFormat="1" x14ac:dyDescent="0.2">
      <c r="A69" s="46"/>
      <c r="B69" s="47"/>
    </row>
    <row r="70" spans="1:17" s="48" customFormat="1" x14ac:dyDescent="0.2">
      <c r="A70" s="49" t="s">
        <v>200</v>
      </c>
      <c r="B70" s="50"/>
      <c r="C70" s="51"/>
      <c r="D70" s="52"/>
      <c r="E70" s="53"/>
      <c r="F70" s="52"/>
      <c r="G70" s="53"/>
      <c r="H70" s="52"/>
      <c r="I70" s="53"/>
      <c r="J70" s="52"/>
      <c r="K70" s="53"/>
      <c r="L70" s="52"/>
      <c r="M70" s="51"/>
      <c r="N70" s="52"/>
    </row>
    <row r="71" spans="1:17" ht="24.75" customHeight="1" x14ac:dyDescent="0.2">
      <c r="A71" s="1795" t="s">
        <v>1240</v>
      </c>
      <c r="B71" s="1796"/>
      <c r="C71" s="1797"/>
      <c r="D71" s="1796"/>
      <c r="E71" s="1797"/>
      <c r="F71" s="1796"/>
      <c r="G71" s="1797"/>
      <c r="H71" s="1796"/>
      <c r="I71" s="1797"/>
      <c r="J71" s="1796"/>
      <c r="K71" s="1797"/>
      <c r="L71" s="1796"/>
      <c r="M71" s="1797"/>
      <c r="N71" s="1796"/>
      <c r="O71" s="54"/>
      <c r="P71" s="54"/>
      <c r="Q71" s="951"/>
    </row>
    <row r="72" spans="1:17" x14ac:dyDescent="0.2">
      <c r="A72" s="1795" t="s">
        <v>1241</v>
      </c>
      <c r="B72" s="1795"/>
      <c r="C72" s="1795"/>
      <c r="D72" s="1795"/>
      <c r="E72" s="1795"/>
      <c r="F72" s="1795"/>
      <c r="G72" s="1795"/>
      <c r="H72" s="1795"/>
      <c r="I72" s="1795"/>
      <c r="J72" s="1795"/>
      <c r="K72" s="1795"/>
      <c r="L72" s="952"/>
      <c r="M72" s="952"/>
      <c r="N72" s="952"/>
      <c r="O72" s="54"/>
      <c r="P72" s="54"/>
      <c r="Q72" s="951"/>
    </row>
    <row r="73" spans="1:17" x14ac:dyDescent="0.2">
      <c r="A73" s="1795" t="s">
        <v>1242</v>
      </c>
      <c r="B73" s="1795"/>
      <c r="C73" s="1795"/>
      <c r="D73" s="1795"/>
      <c r="E73" s="1795"/>
      <c r="F73" s="1795"/>
      <c r="G73" s="1795"/>
      <c r="H73" s="1795"/>
      <c r="I73" s="1795"/>
      <c r="J73" s="1795"/>
      <c r="K73" s="1795"/>
      <c r="L73" s="951"/>
      <c r="M73" s="953"/>
      <c r="N73" s="951"/>
      <c r="O73" s="54"/>
      <c r="P73" s="54"/>
      <c r="Q73" s="951"/>
    </row>
    <row r="74" spans="1:17" x14ac:dyDescent="0.2">
      <c r="A74" s="1795" t="s">
        <v>1243</v>
      </c>
      <c r="B74" s="1795"/>
      <c r="C74" s="1795"/>
      <c r="D74" s="1795"/>
      <c r="E74" s="1795"/>
      <c r="F74" s="1795"/>
      <c r="G74" s="1795"/>
      <c r="H74" s="1795"/>
      <c r="I74" s="1795"/>
      <c r="J74" s="1795"/>
      <c r="K74" s="1795"/>
      <c r="L74" s="952"/>
      <c r="M74" s="952"/>
      <c r="N74" s="952"/>
      <c r="O74" s="54"/>
      <c r="P74" s="54"/>
    </row>
    <row r="75" spans="1:17" x14ac:dyDescent="0.2">
      <c r="A75" s="1795" t="s">
        <v>1244</v>
      </c>
      <c r="B75" s="1795"/>
      <c r="C75" s="1795"/>
      <c r="D75" s="1795"/>
      <c r="E75" s="1795"/>
      <c r="F75" s="1795"/>
      <c r="G75" s="1795"/>
      <c r="H75" s="1795"/>
      <c r="I75" s="1795"/>
      <c r="J75" s="1795"/>
      <c r="K75" s="1795"/>
      <c r="L75" s="952"/>
      <c r="M75" s="952"/>
      <c r="N75" s="952"/>
      <c r="O75" s="54"/>
      <c r="P75" s="54"/>
    </row>
    <row r="76" spans="1:17" x14ac:dyDescent="0.2">
      <c r="A76" s="1795"/>
      <c r="B76" s="1795"/>
      <c r="C76" s="1795"/>
      <c r="D76" s="1795"/>
      <c r="E76" s="1795"/>
      <c r="F76" s="1795"/>
      <c r="G76" s="1795"/>
      <c r="H76" s="1795"/>
      <c r="I76" s="1795"/>
      <c r="J76" s="1795"/>
      <c r="K76" s="1795"/>
      <c r="M76" s="954"/>
      <c r="N76" s="954"/>
      <c r="O76" s="54"/>
      <c r="P76" s="54"/>
    </row>
    <row r="77" spans="1:17" x14ac:dyDescent="0.2">
      <c r="L77" s="54"/>
      <c r="M77" s="54"/>
      <c r="N77" s="54"/>
      <c r="O77" s="54"/>
      <c r="P77" s="54"/>
    </row>
    <row r="78" spans="1:17" x14ac:dyDescent="0.2">
      <c r="A78" s="55"/>
      <c r="B78" s="54"/>
      <c r="C78" s="54"/>
      <c r="D78" s="54"/>
      <c r="E78" s="54"/>
      <c r="F78" s="54"/>
      <c r="G78" s="54"/>
      <c r="H78" s="54"/>
      <c r="I78" s="54"/>
      <c r="J78" s="54"/>
      <c r="K78" s="54"/>
      <c r="L78" s="54"/>
      <c r="M78" s="54"/>
      <c r="N78" s="54"/>
      <c r="O78" s="54"/>
      <c r="P78" s="54"/>
    </row>
    <row r="79" spans="1:17" x14ac:dyDescent="0.2">
      <c r="A79" s="55"/>
      <c r="B79" s="54"/>
      <c r="C79" s="54"/>
      <c r="D79" s="54"/>
      <c r="E79" s="54"/>
      <c r="F79" s="54"/>
      <c r="G79" s="54"/>
      <c r="H79" s="54"/>
      <c r="I79" s="54"/>
      <c r="J79" s="54"/>
      <c r="K79" s="54"/>
      <c r="L79" s="54"/>
      <c r="M79" s="54"/>
      <c r="N79" s="54"/>
      <c r="O79" s="54"/>
      <c r="P79" s="54"/>
      <c r="Q79" s="57"/>
    </row>
    <row r="80" spans="1:17" s="59" customFormat="1" x14ac:dyDescent="0.2">
      <c r="A80" s="25"/>
      <c r="B80" s="25"/>
      <c r="C80" s="25"/>
      <c r="D80" s="25"/>
      <c r="E80" s="58"/>
      <c r="F80" s="58"/>
      <c r="G80" s="58"/>
      <c r="H80" s="58"/>
      <c r="J80" s="60"/>
      <c r="L80" s="60"/>
      <c r="N80" s="60"/>
      <c r="P80" s="60"/>
      <c r="Q80" s="29"/>
    </row>
    <row r="81" spans="1:17" s="59" customFormat="1" x14ac:dyDescent="0.2">
      <c r="A81" s="25"/>
      <c r="B81" s="25"/>
      <c r="C81" s="25"/>
      <c r="D81" s="25"/>
      <c r="E81" s="58"/>
      <c r="F81" s="58"/>
      <c r="G81" s="58"/>
      <c r="H81" s="58"/>
      <c r="J81" s="60"/>
      <c r="L81" s="60"/>
      <c r="N81" s="60"/>
      <c r="P81" s="60"/>
      <c r="Q81" s="29"/>
    </row>
    <row r="82" spans="1:17" s="59" customFormat="1" x14ac:dyDescent="0.2">
      <c r="A82" s="25"/>
      <c r="B82" s="25"/>
      <c r="C82" s="25"/>
      <c r="D82" s="25"/>
      <c r="E82" s="58"/>
      <c r="F82" s="58"/>
      <c r="G82" s="58"/>
      <c r="H82" s="58"/>
      <c r="J82" s="60"/>
      <c r="L82" s="60"/>
      <c r="N82" s="60"/>
      <c r="P82" s="60"/>
      <c r="Q82" s="29"/>
    </row>
    <row r="83" spans="1:17" s="59" customFormat="1" x14ac:dyDescent="0.2">
      <c r="A83" s="25"/>
      <c r="B83" s="25"/>
      <c r="C83" s="25"/>
      <c r="D83" s="25"/>
      <c r="E83" s="58"/>
      <c r="F83" s="58"/>
      <c r="G83" s="58"/>
      <c r="H83" s="58"/>
      <c r="J83" s="60"/>
      <c r="L83" s="60"/>
      <c r="N83" s="60"/>
      <c r="P83" s="60"/>
      <c r="Q83" s="29"/>
    </row>
    <row r="84" spans="1:17" s="59" customFormat="1" x14ac:dyDescent="0.2">
      <c r="A84" s="25"/>
      <c r="B84" s="25"/>
      <c r="C84" s="25"/>
      <c r="D84" s="25"/>
      <c r="E84" s="58"/>
      <c r="F84" s="58"/>
      <c r="G84" s="58"/>
      <c r="H84" s="58"/>
      <c r="J84" s="60"/>
      <c r="L84" s="60"/>
      <c r="N84" s="60"/>
      <c r="P84" s="60"/>
      <c r="Q84" s="29"/>
    </row>
    <row r="85" spans="1:17" s="59" customFormat="1" x14ac:dyDescent="0.2">
      <c r="A85" s="25"/>
      <c r="B85" s="25"/>
      <c r="C85" s="25"/>
      <c r="D85" s="25"/>
      <c r="E85" s="58"/>
      <c r="F85" s="58"/>
      <c r="G85" s="58"/>
      <c r="H85" s="58"/>
      <c r="J85" s="60"/>
      <c r="L85" s="60"/>
      <c r="N85" s="60"/>
      <c r="P85" s="60"/>
      <c r="Q85" s="29"/>
    </row>
    <row r="86" spans="1:17" s="59" customFormat="1" x14ac:dyDescent="0.2">
      <c r="A86" s="25"/>
      <c r="B86" s="25"/>
      <c r="C86" s="25"/>
      <c r="D86" s="25"/>
      <c r="E86" s="58"/>
      <c r="F86" s="58"/>
      <c r="G86" s="58"/>
      <c r="H86" s="58"/>
      <c r="J86" s="60"/>
      <c r="L86" s="60"/>
      <c r="N86" s="60"/>
      <c r="P86" s="60"/>
      <c r="Q86" s="29"/>
    </row>
    <row r="87" spans="1:17" s="59" customFormat="1" x14ac:dyDescent="0.2">
      <c r="A87" s="25"/>
      <c r="B87" s="25"/>
      <c r="C87" s="25"/>
      <c r="D87" s="25"/>
      <c r="E87" s="58"/>
      <c r="F87" s="58"/>
      <c r="G87" s="58"/>
      <c r="H87" s="58"/>
      <c r="J87" s="60"/>
      <c r="L87" s="60"/>
      <c r="N87" s="60"/>
      <c r="P87" s="60"/>
      <c r="Q87" s="29"/>
    </row>
    <row r="88" spans="1:17" s="59" customFormat="1" x14ac:dyDescent="0.2">
      <c r="A88" s="25"/>
      <c r="B88" s="25"/>
      <c r="C88" s="25"/>
      <c r="D88" s="25"/>
      <c r="E88" s="58"/>
      <c r="F88" s="58"/>
      <c r="G88" s="58"/>
      <c r="H88" s="58"/>
      <c r="J88" s="60"/>
      <c r="L88" s="60"/>
      <c r="N88" s="60"/>
      <c r="P88" s="60"/>
      <c r="Q88" s="29"/>
    </row>
    <row r="89" spans="1:17" s="59" customFormat="1" x14ac:dyDescent="0.2">
      <c r="A89" s="25"/>
      <c r="B89" s="25"/>
      <c r="C89" s="25"/>
      <c r="D89" s="25"/>
      <c r="E89" s="58"/>
      <c r="F89" s="58"/>
      <c r="G89" s="58"/>
      <c r="H89" s="58"/>
      <c r="J89" s="60"/>
      <c r="L89" s="60"/>
      <c r="N89" s="60"/>
      <c r="P89" s="60"/>
      <c r="Q89" s="29"/>
    </row>
    <row r="90" spans="1:17" s="59" customFormat="1" x14ac:dyDescent="0.2">
      <c r="A90" s="25"/>
      <c r="B90" s="25"/>
      <c r="C90" s="25"/>
      <c r="D90" s="25"/>
      <c r="E90" s="58"/>
      <c r="F90" s="58"/>
      <c r="G90" s="58"/>
      <c r="H90" s="58"/>
      <c r="J90" s="60"/>
      <c r="L90" s="60"/>
      <c r="N90" s="60"/>
      <c r="P90" s="60"/>
      <c r="Q90" s="29"/>
    </row>
    <row r="91" spans="1:17" s="59" customFormat="1" x14ac:dyDescent="0.2">
      <c r="A91" s="25"/>
      <c r="B91" s="25"/>
      <c r="C91" s="25"/>
      <c r="D91" s="25"/>
      <c r="E91" s="58"/>
      <c r="F91" s="58"/>
      <c r="G91" s="58"/>
      <c r="H91" s="58"/>
      <c r="J91" s="60"/>
      <c r="L91" s="60"/>
      <c r="N91" s="60"/>
      <c r="P91" s="60"/>
      <c r="Q91" s="29"/>
    </row>
    <row r="92" spans="1:17" s="59" customFormat="1" x14ac:dyDescent="0.2">
      <c r="A92" s="25"/>
      <c r="B92" s="25"/>
      <c r="C92" s="25"/>
      <c r="D92" s="25"/>
      <c r="E92" s="58"/>
      <c r="F92" s="58"/>
      <c r="G92" s="58"/>
      <c r="H92" s="58"/>
      <c r="J92" s="60"/>
      <c r="L92" s="60"/>
      <c r="N92" s="60"/>
      <c r="P92" s="60"/>
      <c r="Q92" s="29"/>
    </row>
    <row r="93" spans="1:17" s="59" customFormat="1" x14ac:dyDescent="0.2">
      <c r="A93" s="25"/>
      <c r="B93" s="25"/>
      <c r="C93" s="25"/>
      <c r="D93" s="25"/>
      <c r="E93" s="58"/>
      <c r="F93" s="58"/>
      <c r="G93" s="58"/>
      <c r="H93" s="58"/>
      <c r="J93" s="60"/>
      <c r="L93" s="60"/>
      <c r="N93" s="60"/>
      <c r="P93" s="60"/>
      <c r="Q93" s="29"/>
    </row>
    <row r="94" spans="1:17" s="59" customFormat="1" x14ac:dyDescent="0.2">
      <c r="A94" s="25"/>
      <c r="B94" s="25"/>
      <c r="C94" s="25"/>
      <c r="D94" s="25"/>
      <c r="E94" s="58"/>
      <c r="F94" s="58"/>
      <c r="G94" s="58"/>
      <c r="H94" s="58"/>
      <c r="J94" s="60"/>
      <c r="L94" s="60"/>
      <c r="N94" s="60"/>
      <c r="P94" s="60"/>
      <c r="Q94" s="29"/>
    </row>
    <row r="95" spans="1:17" s="59" customFormat="1" x14ac:dyDescent="0.2">
      <c r="A95" s="25"/>
      <c r="B95" s="25"/>
      <c r="C95" s="25"/>
      <c r="D95" s="25"/>
      <c r="E95" s="58"/>
      <c r="F95" s="58"/>
      <c r="G95" s="58"/>
      <c r="H95" s="58"/>
      <c r="J95" s="60"/>
      <c r="L95" s="60"/>
      <c r="N95" s="60"/>
      <c r="P95" s="60"/>
      <c r="Q95" s="29"/>
    </row>
    <row r="96" spans="1:17" s="59" customFormat="1" x14ac:dyDescent="0.2">
      <c r="A96" s="25"/>
      <c r="B96" s="25"/>
      <c r="C96" s="25"/>
      <c r="D96" s="25"/>
      <c r="E96" s="58"/>
      <c r="F96" s="58"/>
      <c r="G96" s="58"/>
      <c r="H96" s="58"/>
      <c r="J96" s="60"/>
      <c r="L96" s="60"/>
      <c r="N96" s="60"/>
      <c r="P96" s="60"/>
      <c r="Q96" s="29"/>
    </row>
    <row r="97" spans="1:17" s="59" customFormat="1" x14ac:dyDescent="0.2">
      <c r="A97" s="25"/>
      <c r="B97" s="25"/>
      <c r="C97" s="25"/>
      <c r="D97" s="25"/>
      <c r="E97" s="58"/>
      <c r="F97" s="58"/>
      <c r="G97" s="58"/>
      <c r="H97" s="58"/>
      <c r="J97" s="60"/>
      <c r="L97" s="60"/>
      <c r="N97" s="60"/>
      <c r="P97" s="60"/>
      <c r="Q97" s="29"/>
    </row>
    <row r="98" spans="1:17" s="59" customFormat="1" x14ac:dyDescent="0.2">
      <c r="A98" s="25"/>
      <c r="B98" s="25"/>
      <c r="C98" s="25"/>
      <c r="D98" s="25"/>
      <c r="E98" s="58"/>
      <c r="F98" s="58"/>
      <c r="G98" s="58"/>
      <c r="H98" s="58"/>
      <c r="J98" s="60"/>
      <c r="L98" s="60"/>
      <c r="N98" s="60"/>
      <c r="P98" s="60"/>
      <c r="Q98" s="29"/>
    </row>
    <row r="99" spans="1:17" s="59" customFormat="1" x14ac:dyDescent="0.2">
      <c r="A99" s="25"/>
      <c r="B99" s="25"/>
      <c r="C99" s="25"/>
      <c r="D99" s="25"/>
      <c r="E99" s="58"/>
      <c r="F99" s="58"/>
      <c r="G99" s="58"/>
      <c r="H99" s="58"/>
      <c r="J99" s="60"/>
      <c r="L99" s="60"/>
      <c r="N99" s="60"/>
      <c r="P99" s="60"/>
      <c r="Q99" s="29"/>
    </row>
    <row r="100" spans="1:17" s="59" customFormat="1" x14ac:dyDescent="0.2">
      <c r="A100" s="25"/>
      <c r="B100" s="25"/>
      <c r="C100" s="25"/>
      <c r="D100" s="25"/>
      <c r="E100" s="58"/>
      <c r="F100" s="58"/>
      <c r="G100" s="58"/>
      <c r="H100" s="58"/>
      <c r="J100" s="60"/>
      <c r="L100" s="60"/>
      <c r="N100" s="60"/>
      <c r="P100" s="60"/>
      <c r="Q100" s="29"/>
    </row>
    <row r="101" spans="1:17" s="59" customFormat="1" x14ac:dyDescent="0.2">
      <c r="A101" s="25"/>
      <c r="B101" s="25"/>
      <c r="C101" s="25"/>
      <c r="D101" s="25"/>
      <c r="E101" s="58"/>
      <c r="F101" s="58"/>
      <c r="G101" s="58"/>
      <c r="H101" s="58"/>
      <c r="J101" s="60"/>
      <c r="L101" s="60"/>
      <c r="N101" s="60"/>
      <c r="P101" s="60"/>
      <c r="Q101" s="29"/>
    </row>
    <row r="102" spans="1:17" s="59" customFormat="1" x14ac:dyDescent="0.2">
      <c r="A102" s="25"/>
      <c r="B102" s="25"/>
      <c r="C102" s="25"/>
      <c r="D102" s="25"/>
      <c r="E102" s="58"/>
      <c r="F102" s="58"/>
      <c r="G102" s="58"/>
      <c r="H102" s="58"/>
      <c r="J102" s="60"/>
      <c r="L102" s="60"/>
      <c r="N102" s="60"/>
      <c r="P102" s="60"/>
      <c r="Q102" s="29"/>
    </row>
    <row r="103" spans="1:17" s="59" customFormat="1" x14ac:dyDescent="0.2">
      <c r="A103" s="25"/>
      <c r="B103" s="25"/>
      <c r="C103" s="25"/>
      <c r="D103" s="25"/>
      <c r="E103" s="58"/>
      <c r="F103" s="58"/>
      <c r="G103" s="58"/>
      <c r="H103" s="58"/>
      <c r="J103" s="60"/>
      <c r="L103" s="60"/>
      <c r="N103" s="60"/>
      <c r="P103" s="60"/>
      <c r="Q103" s="29"/>
    </row>
    <row r="104" spans="1:17" s="59" customFormat="1" x14ac:dyDescent="0.2">
      <c r="A104" s="25"/>
      <c r="B104" s="25"/>
      <c r="C104" s="25"/>
      <c r="D104" s="25"/>
      <c r="E104" s="58"/>
      <c r="F104" s="58"/>
      <c r="G104" s="58"/>
      <c r="H104" s="58"/>
      <c r="J104" s="60"/>
      <c r="L104" s="60"/>
      <c r="N104" s="60"/>
      <c r="P104" s="60"/>
      <c r="Q104" s="29"/>
    </row>
    <row r="105" spans="1:17" s="59" customFormat="1" x14ac:dyDescent="0.2">
      <c r="A105" s="25"/>
      <c r="B105" s="25"/>
      <c r="C105" s="25"/>
      <c r="D105" s="25"/>
      <c r="E105" s="58"/>
      <c r="F105" s="58"/>
      <c r="G105" s="58"/>
      <c r="H105" s="58"/>
      <c r="J105" s="60"/>
      <c r="L105" s="60"/>
      <c r="N105" s="60"/>
      <c r="P105" s="60"/>
      <c r="Q105" s="29"/>
    </row>
    <row r="106" spans="1:17" s="59" customFormat="1" x14ac:dyDescent="0.2">
      <c r="A106" s="25"/>
      <c r="B106" s="25"/>
      <c r="C106" s="25"/>
      <c r="D106" s="25"/>
      <c r="E106" s="58"/>
      <c r="F106" s="58"/>
      <c r="G106" s="58"/>
      <c r="H106" s="58"/>
      <c r="J106" s="60"/>
      <c r="L106" s="60"/>
      <c r="N106" s="60"/>
      <c r="P106" s="60"/>
      <c r="Q106" s="29"/>
    </row>
    <row r="107" spans="1:17" s="59" customFormat="1" x14ac:dyDescent="0.2">
      <c r="A107" s="25"/>
      <c r="B107" s="25"/>
      <c r="C107" s="25"/>
      <c r="D107" s="25"/>
      <c r="E107" s="58"/>
      <c r="F107" s="58"/>
      <c r="G107" s="58"/>
      <c r="H107" s="58"/>
      <c r="J107" s="60"/>
      <c r="L107" s="60"/>
      <c r="N107" s="60"/>
      <c r="P107" s="60"/>
      <c r="Q107" s="29"/>
    </row>
    <row r="108" spans="1:17" s="59" customFormat="1" x14ac:dyDescent="0.2">
      <c r="A108" s="25"/>
      <c r="B108" s="25"/>
      <c r="C108" s="25"/>
      <c r="D108" s="25"/>
      <c r="E108" s="58"/>
      <c r="F108" s="58"/>
      <c r="G108" s="58"/>
      <c r="H108" s="58"/>
      <c r="J108" s="60"/>
      <c r="L108" s="60"/>
      <c r="N108" s="60"/>
      <c r="P108" s="60"/>
      <c r="Q108" s="29"/>
    </row>
    <row r="109" spans="1:17" s="59" customFormat="1" x14ac:dyDescent="0.2">
      <c r="A109" s="25"/>
      <c r="B109" s="25"/>
      <c r="C109" s="61"/>
      <c r="D109" s="61"/>
      <c r="F109" s="60"/>
      <c r="H109" s="60"/>
      <c r="J109" s="60"/>
      <c r="L109" s="60"/>
      <c r="N109" s="60"/>
      <c r="P109" s="60"/>
      <c r="Q109" s="29"/>
    </row>
    <row r="110" spans="1:17" s="59" customFormat="1" x14ac:dyDescent="0.2">
      <c r="A110" s="25"/>
      <c r="B110" s="25"/>
      <c r="C110" s="61"/>
      <c r="D110" s="61"/>
      <c r="F110" s="60"/>
      <c r="H110" s="60"/>
      <c r="J110" s="60"/>
      <c r="L110" s="60"/>
      <c r="N110" s="60"/>
      <c r="P110" s="60"/>
      <c r="Q110" s="29"/>
    </row>
    <row r="111" spans="1:17" s="59" customFormat="1" x14ac:dyDescent="0.2">
      <c r="A111" s="25"/>
      <c r="B111" s="25"/>
      <c r="C111" s="61"/>
      <c r="D111" s="61"/>
      <c r="F111" s="60"/>
      <c r="H111" s="60"/>
      <c r="J111" s="60"/>
      <c r="L111" s="60"/>
      <c r="N111" s="60"/>
      <c r="P111" s="60"/>
      <c r="Q111" s="29"/>
    </row>
    <row r="112" spans="1:17" s="61" customFormat="1" x14ac:dyDescent="0.2">
      <c r="A112" s="25"/>
      <c r="B112" s="25"/>
      <c r="E112" s="59"/>
      <c r="F112" s="60"/>
      <c r="G112" s="59"/>
      <c r="H112" s="60"/>
      <c r="I112" s="59"/>
      <c r="J112" s="60"/>
      <c r="K112" s="59"/>
      <c r="L112" s="60"/>
      <c r="M112" s="59"/>
      <c r="N112" s="60"/>
      <c r="O112" s="59"/>
      <c r="P112" s="60"/>
      <c r="Q112" s="29"/>
    </row>
    <row r="113" spans="1:17" s="61" customFormat="1" x14ac:dyDescent="0.2">
      <c r="A113" s="25"/>
      <c r="B113" s="25"/>
      <c r="E113" s="59"/>
      <c r="F113" s="60"/>
      <c r="G113" s="59"/>
      <c r="H113" s="60"/>
      <c r="I113" s="59"/>
      <c r="J113" s="60"/>
      <c r="K113" s="59"/>
      <c r="L113" s="60"/>
      <c r="M113" s="59"/>
      <c r="N113" s="60"/>
      <c r="O113" s="59"/>
      <c r="P113" s="60"/>
      <c r="Q113" s="29"/>
    </row>
    <row r="114" spans="1:17" s="61" customFormat="1" x14ac:dyDescent="0.2">
      <c r="A114" s="25"/>
      <c r="B114" s="25"/>
      <c r="E114" s="59"/>
      <c r="F114" s="60"/>
      <c r="G114" s="59"/>
      <c r="H114" s="60"/>
      <c r="I114" s="59"/>
      <c r="J114" s="60"/>
      <c r="K114" s="59"/>
      <c r="L114" s="60"/>
      <c r="M114" s="59"/>
      <c r="N114" s="60"/>
      <c r="O114" s="59"/>
      <c r="P114" s="60"/>
      <c r="Q114" s="29"/>
    </row>
    <row r="115" spans="1:17" s="61" customFormat="1" x14ac:dyDescent="0.2">
      <c r="A115" s="25"/>
      <c r="B115" s="25"/>
      <c r="E115" s="59"/>
      <c r="F115" s="60"/>
      <c r="G115" s="59"/>
      <c r="H115" s="60"/>
      <c r="I115" s="59"/>
      <c r="J115" s="60"/>
      <c r="K115" s="59"/>
      <c r="L115" s="60"/>
      <c r="M115" s="59"/>
      <c r="N115" s="60"/>
      <c r="O115" s="59"/>
      <c r="P115" s="60"/>
      <c r="Q115" s="29"/>
    </row>
    <row r="116" spans="1:17" s="61" customFormat="1" x14ac:dyDescent="0.2">
      <c r="A116" s="25"/>
      <c r="B116" s="25"/>
      <c r="E116" s="59"/>
      <c r="F116" s="60"/>
      <c r="G116" s="59"/>
      <c r="H116" s="60"/>
      <c r="I116" s="59"/>
      <c r="J116" s="60"/>
      <c r="K116" s="59"/>
      <c r="L116" s="60"/>
      <c r="M116" s="59"/>
      <c r="N116" s="60"/>
      <c r="O116" s="59"/>
      <c r="P116" s="60"/>
      <c r="Q116" s="29"/>
    </row>
    <row r="117" spans="1:17" s="61" customFormat="1" x14ac:dyDescent="0.2">
      <c r="A117" s="25"/>
      <c r="B117" s="25"/>
      <c r="E117" s="59"/>
      <c r="F117" s="60"/>
      <c r="G117" s="59"/>
      <c r="H117" s="60"/>
      <c r="I117" s="59"/>
      <c r="J117" s="60"/>
      <c r="K117" s="59"/>
      <c r="L117" s="60"/>
      <c r="M117" s="59"/>
      <c r="N117" s="60"/>
      <c r="O117" s="59"/>
      <c r="P117" s="60"/>
      <c r="Q117" s="29"/>
    </row>
    <row r="118" spans="1:17" s="61" customFormat="1" x14ac:dyDescent="0.2">
      <c r="A118" s="25"/>
      <c r="B118" s="25"/>
      <c r="E118" s="59"/>
      <c r="F118" s="60"/>
      <c r="G118" s="59"/>
      <c r="H118" s="60"/>
      <c r="I118" s="59"/>
      <c r="J118" s="60"/>
      <c r="K118" s="59"/>
      <c r="L118" s="60"/>
      <c r="M118" s="59"/>
      <c r="N118" s="60"/>
      <c r="O118" s="59"/>
      <c r="P118" s="60"/>
      <c r="Q118" s="29"/>
    </row>
    <row r="119" spans="1:17" s="61" customFormat="1" x14ac:dyDescent="0.2">
      <c r="A119" s="25"/>
      <c r="B119" s="25"/>
      <c r="E119" s="59"/>
      <c r="F119" s="60"/>
      <c r="G119" s="59"/>
      <c r="H119" s="60"/>
      <c r="I119" s="59"/>
      <c r="J119" s="60"/>
      <c r="K119" s="59"/>
      <c r="L119" s="60"/>
      <c r="M119" s="59"/>
      <c r="N119" s="60"/>
      <c r="O119" s="59"/>
      <c r="P119" s="60"/>
      <c r="Q119" s="29"/>
    </row>
    <row r="120" spans="1:17" s="61" customFormat="1" x14ac:dyDescent="0.2">
      <c r="A120" s="25"/>
      <c r="B120" s="25"/>
      <c r="E120" s="59"/>
      <c r="F120" s="60"/>
      <c r="G120" s="59"/>
      <c r="H120" s="60"/>
      <c r="I120" s="59"/>
      <c r="J120" s="60"/>
      <c r="K120" s="59"/>
      <c r="L120" s="60"/>
      <c r="M120" s="59"/>
      <c r="N120" s="60"/>
      <c r="O120" s="59"/>
      <c r="P120" s="60"/>
      <c r="Q120" s="29"/>
    </row>
    <row r="121" spans="1:17" s="61" customFormat="1" x14ac:dyDescent="0.2">
      <c r="A121" s="25"/>
      <c r="B121" s="25"/>
      <c r="E121" s="59"/>
      <c r="F121" s="60"/>
      <c r="G121" s="59"/>
      <c r="H121" s="60"/>
      <c r="I121" s="59"/>
      <c r="J121" s="60"/>
      <c r="K121" s="59"/>
      <c r="L121" s="60"/>
      <c r="M121" s="59"/>
      <c r="N121" s="60"/>
      <c r="O121" s="59"/>
      <c r="P121" s="60"/>
      <c r="Q121" s="29"/>
    </row>
    <row r="122" spans="1:17" s="61" customFormat="1" x14ac:dyDescent="0.2">
      <c r="A122" s="25"/>
      <c r="B122" s="25"/>
      <c r="E122" s="59"/>
      <c r="F122" s="60"/>
      <c r="G122" s="59"/>
      <c r="H122" s="60"/>
      <c r="I122" s="59"/>
      <c r="J122" s="60"/>
      <c r="K122" s="59"/>
      <c r="L122" s="60"/>
      <c r="M122" s="59"/>
      <c r="N122" s="60"/>
      <c r="O122" s="59"/>
      <c r="P122" s="60"/>
      <c r="Q122" s="29"/>
    </row>
    <row r="123" spans="1:17" s="61" customFormat="1" x14ac:dyDescent="0.2">
      <c r="A123" s="25"/>
      <c r="B123" s="25"/>
      <c r="E123" s="59"/>
      <c r="F123" s="60"/>
      <c r="G123" s="59"/>
      <c r="H123" s="60"/>
      <c r="I123" s="59"/>
      <c r="J123" s="60"/>
      <c r="K123" s="59"/>
      <c r="L123" s="60"/>
      <c r="M123" s="59"/>
      <c r="N123" s="60"/>
      <c r="O123" s="59"/>
      <c r="P123" s="60"/>
      <c r="Q123" s="29"/>
    </row>
    <row r="124" spans="1:17" s="61" customFormat="1" x14ac:dyDescent="0.2">
      <c r="A124" s="25"/>
      <c r="B124" s="25"/>
      <c r="E124" s="59"/>
      <c r="F124" s="60"/>
      <c r="G124" s="59"/>
      <c r="H124" s="60"/>
      <c r="I124" s="59"/>
      <c r="J124" s="60"/>
      <c r="K124" s="59"/>
      <c r="L124" s="60"/>
      <c r="M124" s="59"/>
      <c r="N124" s="60"/>
      <c r="O124" s="59"/>
      <c r="P124" s="60"/>
      <c r="Q124" s="29"/>
    </row>
    <row r="125" spans="1:17" s="61" customFormat="1" x14ac:dyDescent="0.2">
      <c r="A125" s="25"/>
      <c r="B125" s="25"/>
      <c r="E125" s="59"/>
      <c r="F125" s="60"/>
      <c r="G125" s="59"/>
      <c r="H125" s="60"/>
      <c r="I125" s="59"/>
      <c r="J125" s="60"/>
      <c r="K125" s="59"/>
      <c r="L125" s="60"/>
      <c r="M125" s="59"/>
      <c r="N125" s="60"/>
      <c r="O125" s="59"/>
      <c r="P125" s="60"/>
      <c r="Q125" s="29"/>
    </row>
  </sheetData>
  <mergeCells count="7">
    <mergeCell ref="A75:K75"/>
    <mergeCell ref="A76:K76"/>
    <mergeCell ref="K2:K3"/>
    <mergeCell ref="A71:N71"/>
    <mergeCell ref="A72:K72"/>
    <mergeCell ref="A73:K73"/>
    <mergeCell ref="A74:K74"/>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rintOptions horizontalCentered="1"/>
  <pageMargins left="0.25" right="0.25" top="0.25" bottom="0.25" header="0.5" footer="0.5"/>
  <pageSetup scale="87" fitToHeight="99" pageOrder="overThenDown" orientation="portrait" blackAndWhite="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1">
    <pageSetUpPr fitToPage="1"/>
  </sheetPr>
  <dimension ref="A1:AG186"/>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42578125" style="60" customWidth="1"/>
    <col min="7" max="7" width="1.28515625" style="59" hidden="1" customWidth="1"/>
    <col min="8" max="8" width="3.140625" style="60"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hidden="1" customWidth="1"/>
    <col min="16" max="16" width="2.85546875" style="60" customWidth="1"/>
    <col min="17" max="17" width="3.42578125" style="29" customWidth="1"/>
    <col min="18" max="18" width="9.140625" style="29"/>
    <col min="19" max="20" width="10.140625" style="29" bestFit="1" customWidth="1"/>
    <col min="21" max="22" width="9.140625" style="29"/>
    <col min="23" max="23" width="11.7109375" style="29" customWidth="1"/>
    <col min="24" max="24" width="9.140625" style="29"/>
    <col min="25" max="25" width="10.7109375" style="29" customWidth="1"/>
    <col min="26" max="16384" width="9.140625" style="29"/>
  </cols>
  <sheetData>
    <row r="1" spans="1:18" s="4" customFormat="1" ht="15.75" x14ac:dyDescent="0.2">
      <c r="A1" s="1" t="s">
        <v>174</v>
      </c>
      <c r="B1" s="2">
        <v>2019</v>
      </c>
      <c r="C1" s="3"/>
      <c r="E1" s="3"/>
      <c r="G1" s="5"/>
      <c r="I1" s="5"/>
      <c r="J1" s="6"/>
      <c r="K1" s="5"/>
      <c r="L1" s="6"/>
      <c r="M1" s="5"/>
      <c r="N1" s="6"/>
    </row>
    <row r="2" spans="1:18" s="4" customFormat="1" ht="15.75" x14ac:dyDescent="0.25">
      <c r="A2" s="1" t="s">
        <v>175</v>
      </c>
      <c r="B2" s="7" t="s">
        <v>176</v>
      </c>
      <c r="C2" s="7" t="s">
        <v>0</v>
      </c>
      <c r="D2" s="6"/>
      <c r="E2" s="8"/>
      <c r="F2" s="9"/>
      <c r="G2" s="8"/>
      <c r="H2" s="6"/>
      <c r="I2" s="8"/>
      <c r="J2" s="6"/>
      <c r="K2" s="1733" t="s">
        <v>171</v>
      </c>
      <c r="L2" s="6"/>
      <c r="M2" s="8"/>
      <c r="N2" s="6"/>
    </row>
    <row r="3" spans="1:18" s="4" customFormat="1" ht="15.75" x14ac:dyDescent="0.25">
      <c r="A3" s="1" t="s">
        <v>177</v>
      </c>
      <c r="B3" s="10" t="s">
        <v>1060</v>
      </c>
      <c r="C3" s="10" t="s">
        <v>1061</v>
      </c>
      <c r="D3" s="6"/>
      <c r="E3" s="11"/>
      <c r="F3" s="9"/>
      <c r="G3" s="11"/>
      <c r="H3" s="6"/>
      <c r="I3" s="11"/>
      <c r="J3" s="6"/>
      <c r="K3" s="1734"/>
      <c r="L3" s="6"/>
      <c r="M3" s="11"/>
      <c r="N3" s="6"/>
    </row>
    <row r="4" spans="1:18" s="4" customFormat="1" ht="15.75" x14ac:dyDescent="0.25">
      <c r="A4" s="1" t="s">
        <v>180</v>
      </c>
      <c r="B4" s="10" t="s">
        <v>642</v>
      </c>
      <c r="C4" s="10" t="s">
        <v>12</v>
      </c>
      <c r="D4" s="6"/>
      <c r="E4" s="11"/>
      <c r="F4" s="9"/>
      <c r="G4" s="11"/>
      <c r="H4" s="6"/>
      <c r="I4" s="11"/>
      <c r="J4" s="6"/>
      <c r="K4" s="11"/>
      <c r="L4" s="6"/>
      <c r="M4" s="11"/>
      <c r="N4" s="6"/>
    </row>
    <row r="5" spans="1:18" s="4" customFormat="1" ht="15.75" x14ac:dyDescent="0.2">
      <c r="A5" s="1" t="s">
        <v>183</v>
      </c>
      <c r="B5" s="12" t="s">
        <v>211</v>
      </c>
      <c r="C5" s="12" t="s">
        <v>211</v>
      </c>
      <c r="D5" s="13"/>
      <c r="E5" s="14"/>
      <c r="G5" s="14"/>
      <c r="I5" s="14"/>
      <c r="K5" s="14"/>
      <c r="M5" s="14"/>
    </row>
    <row r="6" spans="1:18" s="4" customFormat="1" ht="15.75" x14ac:dyDescent="0.25">
      <c r="A6" s="15" t="s">
        <v>186</v>
      </c>
      <c r="B6" s="16">
        <v>4</v>
      </c>
      <c r="C6" s="17"/>
      <c r="D6" s="18"/>
      <c r="E6" s="19"/>
      <c r="F6" s="9"/>
      <c r="G6" s="8"/>
      <c r="H6" s="6"/>
      <c r="I6" s="8"/>
      <c r="J6" s="6"/>
      <c r="K6" s="8"/>
      <c r="L6" s="6"/>
      <c r="M6" s="8"/>
      <c r="N6" s="6"/>
    </row>
    <row r="7" spans="1:18" s="24" customFormat="1" x14ac:dyDescent="0.2">
      <c r="A7" s="20"/>
      <c r="B7" s="21"/>
      <c r="C7" s="22"/>
      <c r="D7" s="23"/>
      <c r="E7" s="22"/>
      <c r="F7" s="23"/>
      <c r="G7" s="22"/>
      <c r="H7" s="23"/>
      <c r="I7" s="22"/>
      <c r="J7" s="23"/>
      <c r="K7" s="22" t="s">
        <v>187</v>
      </c>
      <c r="L7" s="23"/>
      <c r="M7" s="22" t="s">
        <v>187</v>
      </c>
      <c r="N7" s="23"/>
    </row>
    <row r="8" spans="1:18"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8"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8" s="24" customFormat="1" x14ac:dyDescent="0.2">
      <c r="A10" s="30"/>
      <c r="B10" s="31"/>
    </row>
    <row r="11" spans="1:18" s="37" customFormat="1" x14ac:dyDescent="0.2">
      <c r="A11" s="35" t="s">
        <v>517</v>
      </c>
      <c r="B11" s="36"/>
    </row>
    <row r="12" spans="1:18" s="37" customFormat="1" x14ac:dyDescent="0.2">
      <c r="A12" s="35" t="s">
        <v>1245</v>
      </c>
      <c r="B12" s="36"/>
    </row>
    <row r="13" spans="1:18" s="37" customFormat="1" x14ac:dyDescent="0.2">
      <c r="A13" s="688" t="s">
        <v>1246</v>
      </c>
      <c r="B13" s="36"/>
    </row>
    <row r="14" spans="1:18" s="40" customFormat="1" x14ac:dyDescent="0.2">
      <c r="A14" s="90" t="s">
        <v>354</v>
      </c>
      <c r="B14" s="39"/>
      <c r="C14" s="955">
        <v>108</v>
      </c>
      <c r="D14" s="955"/>
      <c r="E14" s="955">
        <v>104</v>
      </c>
      <c r="F14" s="955"/>
      <c r="G14" s="955"/>
      <c r="I14" s="955">
        <v>102</v>
      </c>
      <c r="K14" s="955">
        <v>100</v>
      </c>
      <c r="M14" s="956"/>
      <c r="R14" s="78"/>
    </row>
    <row r="15" spans="1:18" s="40" customFormat="1" x14ac:dyDescent="0.2">
      <c r="A15" s="90" t="s">
        <v>1247</v>
      </c>
      <c r="B15" s="39"/>
      <c r="C15" s="76" t="s">
        <v>1248</v>
      </c>
      <c r="D15" s="63"/>
      <c r="E15" s="76" t="s">
        <v>1249</v>
      </c>
      <c r="F15" s="63"/>
      <c r="G15" s="76"/>
      <c r="I15" s="76" t="s">
        <v>1250</v>
      </c>
      <c r="K15" s="76" t="s">
        <v>1251</v>
      </c>
      <c r="M15" s="393"/>
      <c r="N15" s="63"/>
      <c r="O15" s="63"/>
      <c r="R15" s="957"/>
    </row>
    <row r="16" spans="1:18" s="40" customFormat="1" x14ac:dyDescent="0.2">
      <c r="A16" s="90" t="s">
        <v>1252</v>
      </c>
      <c r="B16" s="39"/>
      <c r="C16" s="63"/>
      <c r="D16" s="63"/>
      <c r="E16" s="63"/>
      <c r="F16" s="63"/>
      <c r="G16" s="63"/>
      <c r="I16" s="63"/>
      <c r="K16" s="63"/>
      <c r="M16" s="958"/>
    </row>
    <row r="17" spans="1:33" s="40" customFormat="1" x14ac:dyDescent="0.2">
      <c r="A17" s="131" t="s">
        <v>1253</v>
      </c>
      <c r="B17" s="39"/>
      <c r="C17" s="97">
        <v>318674.2</v>
      </c>
      <c r="D17" s="97"/>
      <c r="E17" s="97">
        <v>341275</v>
      </c>
      <c r="F17" s="97"/>
      <c r="G17" s="97"/>
      <c r="I17" s="97">
        <v>322214</v>
      </c>
      <c r="K17" s="97">
        <v>304333</v>
      </c>
      <c r="M17" s="351"/>
      <c r="R17" s="356"/>
      <c r="S17" s="356"/>
      <c r="T17" s="356"/>
      <c r="U17" s="356"/>
      <c r="V17" s="356"/>
      <c r="W17" s="356"/>
      <c r="X17" s="356"/>
      <c r="Y17" s="356"/>
      <c r="Z17" s="356"/>
      <c r="AA17" s="356"/>
      <c r="AB17" s="356"/>
      <c r="AC17" s="356"/>
      <c r="AD17" s="356"/>
      <c r="AE17" s="356"/>
      <c r="AF17" s="356"/>
      <c r="AG17" s="356"/>
    </row>
    <row r="18" spans="1:33" s="40" customFormat="1" x14ac:dyDescent="0.2">
      <c r="A18" s="131" t="s">
        <v>1254</v>
      </c>
      <c r="B18" s="39"/>
      <c r="C18" s="253">
        <f>C17/365</f>
        <v>873.08</v>
      </c>
      <c r="D18" s="253"/>
      <c r="E18" s="253">
        <f t="shared" ref="E18:K18" si="0">E17/365</f>
        <v>935</v>
      </c>
      <c r="F18" s="253"/>
      <c r="G18" s="253">
        <f t="shared" si="0"/>
        <v>0</v>
      </c>
      <c r="H18" s="253"/>
      <c r="I18" s="253">
        <f t="shared" si="0"/>
        <v>882.77808219178087</v>
      </c>
      <c r="J18" s="253"/>
      <c r="K18" s="253">
        <f t="shared" si="0"/>
        <v>833.78904109589041</v>
      </c>
      <c r="M18" s="354"/>
      <c r="R18" s="354"/>
    </row>
    <row r="19" spans="1:33" s="37" customFormat="1" x14ac:dyDescent="0.2">
      <c r="A19" s="688" t="s">
        <v>1255</v>
      </c>
      <c r="B19" s="36"/>
      <c r="C19" s="87"/>
      <c r="D19" s="87"/>
      <c r="E19" s="87"/>
      <c r="F19" s="87"/>
      <c r="G19" s="87"/>
      <c r="I19" s="87"/>
      <c r="K19" s="87"/>
      <c r="S19" s="40"/>
    </row>
    <row r="20" spans="1:33" s="40" customFormat="1" x14ac:dyDescent="0.2">
      <c r="A20" s="90" t="s">
        <v>354</v>
      </c>
      <c r="B20" s="39"/>
      <c r="C20" s="91">
        <v>239</v>
      </c>
      <c r="D20" s="955"/>
      <c r="E20" s="91">
        <v>214</v>
      </c>
      <c r="F20" s="955"/>
      <c r="G20" s="91"/>
      <c r="I20" s="91">
        <v>198</v>
      </c>
      <c r="K20" s="91">
        <v>179</v>
      </c>
      <c r="M20" s="78"/>
      <c r="R20" s="78"/>
    </row>
    <row r="21" spans="1:33" s="40" customFormat="1" x14ac:dyDescent="0.2">
      <c r="A21" s="90" t="s">
        <v>1247</v>
      </c>
      <c r="B21" s="39"/>
      <c r="C21" s="65" t="s">
        <v>1256</v>
      </c>
      <c r="D21" s="63"/>
      <c r="E21" s="65" t="s">
        <v>1257</v>
      </c>
      <c r="F21" s="63"/>
      <c r="G21" s="65"/>
      <c r="I21" s="65" t="s">
        <v>1256</v>
      </c>
      <c r="K21" s="65" t="s">
        <v>1256</v>
      </c>
      <c r="M21" s="277"/>
      <c r="R21" s="957"/>
    </row>
    <row r="22" spans="1:33" s="40" customFormat="1" x14ac:dyDescent="0.2">
      <c r="A22" s="90" t="s">
        <v>1252</v>
      </c>
      <c r="B22" s="39"/>
      <c r="C22" s="63"/>
      <c r="D22" s="63"/>
      <c r="E22" s="63"/>
      <c r="F22" s="63"/>
      <c r="G22" s="63"/>
      <c r="I22" s="63"/>
      <c r="K22" s="63"/>
    </row>
    <row r="23" spans="1:33" s="40" customFormat="1" x14ac:dyDescent="0.2">
      <c r="A23" s="131" t="s">
        <v>1253</v>
      </c>
      <c r="B23" s="39"/>
      <c r="C23" s="97">
        <v>365514.64999999997</v>
      </c>
      <c r="D23" s="97"/>
      <c r="E23" s="97">
        <v>389090</v>
      </c>
      <c r="F23" s="97"/>
      <c r="G23" s="97"/>
      <c r="I23" s="97">
        <v>389407</v>
      </c>
      <c r="K23" s="97">
        <v>398861</v>
      </c>
      <c r="M23" s="351"/>
      <c r="R23" s="959"/>
    </row>
    <row r="24" spans="1:33" s="40" customFormat="1" x14ac:dyDescent="0.2">
      <c r="A24" s="131" t="s">
        <v>1254</v>
      </c>
      <c r="B24" s="39"/>
      <c r="C24" s="253">
        <f>C23/365</f>
        <v>1001.4099999999999</v>
      </c>
      <c r="D24" s="253"/>
      <c r="E24" s="253">
        <f>E23/365</f>
        <v>1066</v>
      </c>
      <c r="F24" s="253"/>
      <c r="G24" s="253">
        <f t="shared" ref="G24:K24" si="1">G23/365</f>
        <v>0</v>
      </c>
      <c r="H24" s="253"/>
      <c r="I24" s="253">
        <f t="shared" si="1"/>
        <v>1066.868493150685</v>
      </c>
      <c r="J24" s="253"/>
      <c r="K24" s="253">
        <f t="shared" si="1"/>
        <v>1092.7698630136986</v>
      </c>
      <c r="M24" s="354"/>
      <c r="R24" s="354"/>
    </row>
    <row r="25" spans="1:33" s="37" customFormat="1" x14ac:dyDescent="0.2">
      <c r="A25" s="688" t="s">
        <v>1258</v>
      </c>
      <c r="B25" s="36"/>
      <c r="C25" s="87"/>
      <c r="D25" s="87"/>
      <c r="E25" s="87"/>
      <c r="F25" s="87"/>
      <c r="G25" s="87"/>
      <c r="I25" s="87"/>
      <c r="K25" s="87"/>
      <c r="S25" s="40"/>
    </row>
    <row r="26" spans="1:33" s="40" customFormat="1" x14ac:dyDescent="0.2">
      <c r="A26" s="90" t="s">
        <v>354</v>
      </c>
      <c r="B26" s="39"/>
      <c r="C26" s="955">
        <v>318</v>
      </c>
      <c r="D26" s="955"/>
      <c r="E26" s="955">
        <v>284</v>
      </c>
      <c r="F26" s="955"/>
      <c r="G26" s="955"/>
      <c r="I26" s="955">
        <v>267</v>
      </c>
      <c r="K26" s="955">
        <v>245</v>
      </c>
      <c r="M26" s="956"/>
      <c r="R26" s="960"/>
    </row>
    <row r="27" spans="1:33" s="40" customFormat="1" x14ac:dyDescent="0.2">
      <c r="A27" s="90" t="s">
        <v>1247</v>
      </c>
      <c r="B27" s="39"/>
      <c r="C27" s="65" t="s">
        <v>1256</v>
      </c>
      <c r="D27" s="63"/>
      <c r="E27" s="65" t="s">
        <v>1259</v>
      </c>
      <c r="F27" s="63"/>
      <c r="G27" s="65"/>
      <c r="I27" s="65" t="s">
        <v>1260</v>
      </c>
      <c r="K27" s="65" t="s">
        <v>1257</v>
      </c>
      <c r="M27" s="277"/>
      <c r="R27" s="957"/>
    </row>
    <row r="28" spans="1:33" s="40" customFormat="1" x14ac:dyDescent="0.2">
      <c r="A28" s="90" t="s">
        <v>1252</v>
      </c>
      <c r="B28" s="39"/>
      <c r="C28" s="63"/>
      <c r="D28" s="63"/>
      <c r="E28" s="63"/>
      <c r="F28" s="63"/>
      <c r="G28" s="63"/>
      <c r="I28" s="63"/>
      <c r="K28" s="63"/>
      <c r="M28" s="958"/>
    </row>
    <row r="29" spans="1:33" s="40" customFormat="1" x14ac:dyDescent="0.2">
      <c r="A29" s="131" t="s">
        <v>1253</v>
      </c>
      <c r="B29" s="39"/>
      <c r="C29" s="961">
        <v>350414.6</v>
      </c>
      <c r="D29" s="97"/>
      <c r="E29" s="97">
        <v>379235</v>
      </c>
      <c r="F29" s="97"/>
      <c r="G29" s="97"/>
      <c r="I29" s="97">
        <v>373526</v>
      </c>
      <c r="K29" s="97">
        <v>376939</v>
      </c>
      <c r="M29" s="351"/>
      <c r="R29" s="959"/>
    </row>
    <row r="30" spans="1:33" s="40" customFormat="1" x14ac:dyDescent="0.2">
      <c r="A30" s="131" t="s">
        <v>1254</v>
      </c>
      <c r="B30" s="39"/>
      <c r="C30" s="253">
        <f>C29/365</f>
        <v>960.04</v>
      </c>
      <c r="D30" s="253"/>
      <c r="E30" s="253">
        <f t="shared" ref="E30:K30" si="2">E29/365</f>
        <v>1039</v>
      </c>
      <c r="F30" s="253"/>
      <c r="G30" s="253">
        <f t="shared" si="2"/>
        <v>0</v>
      </c>
      <c r="H30" s="253"/>
      <c r="I30" s="253">
        <f t="shared" si="2"/>
        <v>1023.358904109589</v>
      </c>
      <c r="J30" s="253"/>
      <c r="K30" s="253">
        <f t="shared" si="2"/>
        <v>1032.7095890410958</v>
      </c>
      <c r="M30" s="354"/>
      <c r="R30" s="354"/>
    </row>
    <row r="31" spans="1:33" s="37" customFormat="1" x14ac:dyDescent="0.2">
      <c r="A31" s="688" t="s">
        <v>1261</v>
      </c>
      <c r="B31" s="36"/>
      <c r="C31" s="87"/>
      <c r="D31" s="87"/>
      <c r="E31" s="87"/>
      <c r="F31" s="87"/>
      <c r="G31" s="87"/>
      <c r="I31" s="87"/>
      <c r="K31" s="87"/>
      <c r="S31" s="40"/>
    </row>
    <row r="32" spans="1:33" s="40" customFormat="1" x14ac:dyDescent="0.2">
      <c r="A32" s="90" t="s">
        <v>354</v>
      </c>
      <c r="B32" s="39"/>
      <c r="C32" s="955">
        <v>374</v>
      </c>
      <c r="D32" s="955"/>
      <c r="E32" s="955">
        <v>352</v>
      </c>
      <c r="F32" s="955"/>
      <c r="G32" s="955"/>
      <c r="I32" s="955">
        <v>328</v>
      </c>
      <c r="K32" s="955">
        <v>300</v>
      </c>
      <c r="M32" s="956"/>
      <c r="R32" s="78"/>
    </row>
    <row r="33" spans="1:19" s="40" customFormat="1" x14ac:dyDescent="0.2">
      <c r="A33" s="90" t="s">
        <v>1247</v>
      </c>
      <c r="B33" s="39"/>
      <c r="C33" s="65" t="s">
        <v>1250</v>
      </c>
      <c r="D33" s="63"/>
      <c r="E33" s="65" t="s">
        <v>1262</v>
      </c>
      <c r="F33" s="63"/>
      <c r="G33" s="65"/>
      <c r="I33" s="65" t="s">
        <v>1263</v>
      </c>
      <c r="K33" s="65" t="s">
        <v>1262</v>
      </c>
      <c r="M33" s="277"/>
      <c r="R33" s="957"/>
    </row>
    <row r="34" spans="1:19" s="40" customFormat="1" x14ac:dyDescent="0.2">
      <c r="A34" s="90" t="s">
        <v>1252</v>
      </c>
      <c r="B34" s="39"/>
      <c r="C34" s="63"/>
      <c r="D34" s="63"/>
      <c r="E34" s="63"/>
      <c r="F34" s="63"/>
      <c r="G34" s="63"/>
      <c r="I34" s="63"/>
      <c r="K34" s="63"/>
      <c r="M34" s="958"/>
    </row>
    <row r="35" spans="1:19" s="40" customFormat="1" x14ac:dyDescent="0.2">
      <c r="A35" s="131" t="s">
        <v>1253</v>
      </c>
      <c r="B35" s="39"/>
      <c r="C35" s="961">
        <v>339001.05</v>
      </c>
      <c r="D35" s="97"/>
      <c r="E35" s="97">
        <v>337260</v>
      </c>
      <c r="F35" s="97"/>
      <c r="G35" s="97"/>
      <c r="I35" s="97">
        <v>335150</v>
      </c>
      <c r="K35" s="97">
        <v>339310</v>
      </c>
      <c r="M35" s="351"/>
      <c r="R35" s="959"/>
    </row>
    <row r="36" spans="1:19" s="40" customFormat="1" x14ac:dyDescent="0.2">
      <c r="A36" s="131" t="s">
        <v>1254</v>
      </c>
      <c r="B36" s="39"/>
      <c r="C36" s="253">
        <f>C35/365</f>
        <v>928.77</v>
      </c>
      <c r="D36" s="253"/>
      <c r="E36" s="253">
        <f t="shared" ref="E36:K36" si="3">E35/365</f>
        <v>924</v>
      </c>
      <c r="F36" s="253"/>
      <c r="G36" s="253">
        <f t="shared" si="3"/>
        <v>0</v>
      </c>
      <c r="H36" s="253"/>
      <c r="I36" s="253">
        <f t="shared" si="3"/>
        <v>918.21917808219177</v>
      </c>
      <c r="J36" s="253"/>
      <c r="K36" s="253">
        <f t="shared" si="3"/>
        <v>929.61643835616439</v>
      </c>
      <c r="M36" s="354"/>
      <c r="R36" s="354"/>
    </row>
    <row r="37" spans="1:19" s="37" customFormat="1" x14ac:dyDescent="0.2">
      <c r="A37" s="688" t="s">
        <v>1264</v>
      </c>
      <c r="B37" s="36"/>
      <c r="C37" s="87"/>
      <c r="D37" s="87"/>
      <c r="E37" s="87"/>
      <c r="F37" s="87"/>
      <c r="G37" s="87"/>
      <c r="I37" s="87"/>
      <c r="K37" s="87"/>
      <c r="S37" s="40"/>
    </row>
    <row r="38" spans="1:19" s="40" customFormat="1" x14ac:dyDescent="0.2">
      <c r="A38" s="90" t="s">
        <v>354</v>
      </c>
      <c r="B38" s="39"/>
      <c r="C38" s="955">
        <v>498</v>
      </c>
      <c r="D38" s="955"/>
      <c r="E38" s="955">
        <v>484</v>
      </c>
      <c r="F38" s="955"/>
      <c r="G38" s="955"/>
      <c r="I38" s="955">
        <v>467</v>
      </c>
      <c r="K38" s="955">
        <v>450</v>
      </c>
      <c r="M38" s="956"/>
      <c r="R38" s="78"/>
    </row>
    <row r="39" spans="1:19" s="40" customFormat="1" x14ac:dyDescent="0.2">
      <c r="A39" s="90" t="s">
        <v>1247</v>
      </c>
      <c r="B39" s="39"/>
      <c r="C39" s="166" t="s">
        <v>1265</v>
      </c>
      <c r="D39" s="63"/>
      <c r="E39" s="166" t="s">
        <v>1266</v>
      </c>
      <c r="F39" s="63"/>
      <c r="G39" s="65"/>
      <c r="I39" s="65" t="s">
        <v>1266</v>
      </c>
      <c r="K39" s="65" t="s">
        <v>1249</v>
      </c>
      <c r="M39" s="277"/>
      <c r="R39" s="957"/>
    </row>
    <row r="40" spans="1:19" s="40" customFormat="1" x14ac:dyDescent="0.2">
      <c r="A40" s="90" t="s">
        <v>1252</v>
      </c>
      <c r="B40" s="39"/>
      <c r="C40" s="63"/>
      <c r="D40" s="63"/>
      <c r="E40" s="63"/>
      <c r="F40" s="63"/>
      <c r="G40" s="63"/>
      <c r="I40" s="63"/>
      <c r="K40" s="63"/>
      <c r="M40" s="696"/>
    </row>
    <row r="41" spans="1:19" s="40" customFormat="1" x14ac:dyDescent="0.2">
      <c r="A41" s="131" t="s">
        <v>1253</v>
      </c>
      <c r="B41" s="39"/>
      <c r="C41" s="97">
        <v>265592.25</v>
      </c>
      <c r="D41" s="97"/>
      <c r="E41" s="97">
        <v>277765</v>
      </c>
      <c r="F41" s="97"/>
      <c r="G41" s="97"/>
      <c r="I41" s="97">
        <v>266570</v>
      </c>
      <c r="K41" s="97">
        <v>256164</v>
      </c>
      <c r="M41" s="351"/>
      <c r="R41" s="356"/>
    </row>
    <row r="42" spans="1:19" s="40" customFormat="1" x14ac:dyDescent="0.2">
      <c r="A42" s="131" t="s">
        <v>1254</v>
      </c>
      <c r="B42" s="39"/>
      <c r="C42" s="253">
        <f>C41/365</f>
        <v>727.65</v>
      </c>
      <c r="D42" s="253"/>
      <c r="E42" s="253">
        <f t="shared" ref="E42:K42" si="4">E41/365</f>
        <v>761</v>
      </c>
      <c r="F42" s="253"/>
      <c r="G42" s="253">
        <f t="shared" si="4"/>
        <v>0</v>
      </c>
      <c r="H42" s="253"/>
      <c r="I42" s="253">
        <f t="shared" si="4"/>
        <v>730.32876712328766</v>
      </c>
      <c r="J42" s="253"/>
      <c r="K42" s="253">
        <f t="shared" si="4"/>
        <v>701.8191780821918</v>
      </c>
      <c r="L42" s="253"/>
      <c r="M42" s="354"/>
      <c r="R42" s="354"/>
    </row>
    <row r="43" spans="1:19" s="40" customFormat="1" x14ac:dyDescent="0.2">
      <c r="A43" s="90"/>
      <c r="B43" s="39"/>
      <c r="C43" s="106"/>
      <c r="D43" s="63"/>
      <c r="E43" s="63"/>
      <c r="F43" s="63"/>
      <c r="G43" s="63"/>
      <c r="I43" s="63"/>
    </row>
    <row r="44" spans="1:19" s="37" customFormat="1" x14ac:dyDescent="0.2">
      <c r="A44" s="35" t="s">
        <v>194</v>
      </c>
      <c r="B44" s="36"/>
      <c r="C44" s="885"/>
      <c r="D44" s="87"/>
      <c r="E44" s="87"/>
      <c r="F44" s="87"/>
      <c r="G44" s="87"/>
      <c r="I44" s="87"/>
    </row>
    <row r="45" spans="1:19" s="37" customFormat="1" x14ac:dyDescent="0.2">
      <c r="A45" s="35" t="s">
        <v>195</v>
      </c>
      <c r="B45" s="36"/>
      <c r="C45" s="142"/>
    </row>
    <row r="46" spans="1:19" s="37" customFormat="1" ht="12.75" hidden="1" customHeight="1" x14ac:dyDescent="0.2">
      <c r="A46" s="688" t="s">
        <v>1246</v>
      </c>
      <c r="B46" s="36"/>
      <c r="C46" s="142"/>
    </row>
    <row r="47" spans="1:19" s="40" customFormat="1" ht="12.75" hidden="1" customHeight="1" x14ac:dyDescent="0.2">
      <c r="A47" s="41" t="s">
        <v>1052</v>
      </c>
      <c r="B47" s="39"/>
      <c r="C47" s="148"/>
    </row>
    <row r="48" spans="1:19" s="40" customFormat="1" ht="12.75" hidden="1" customHeight="1" x14ac:dyDescent="0.2">
      <c r="A48" s="90" t="s">
        <v>1053</v>
      </c>
      <c r="B48" s="39"/>
      <c r="C48" s="148"/>
      <c r="M48" s="77"/>
    </row>
    <row r="49" spans="1:15" s="40" customFormat="1" ht="12.75" hidden="1" customHeight="1" x14ac:dyDescent="0.2">
      <c r="A49" s="90" t="s">
        <v>261</v>
      </c>
      <c r="B49" s="39"/>
      <c r="C49" s="148"/>
      <c r="M49" s="333"/>
    </row>
    <row r="50" spans="1:15" s="40" customFormat="1" ht="12.75" hidden="1" customHeight="1" x14ac:dyDescent="0.2">
      <c r="A50" s="90" t="s">
        <v>975</v>
      </c>
      <c r="B50" s="39"/>
      <c r="C50" s="148"/>
      <c r="M50" s="333"/>
    </row>
    <row r="51" spans="1:15" s="40" customFormat="1" ht="12.75" hidden="1" customHeight="1" x14ac:dyDescent="0.2">
      <c r="A51" s="41" t="s">
        <v>976</v>
      </c>
      <c r="B51" s="39"/>
      <c r="C51" s="148"/>
      <c r="M51" s="333"/>
    </row>
    <row r="52" spans="1:15" s="40" customFormat="1" ht="12.75" hidden="1" customHeight="1" x14ac:dyDescent="0.2">
      <c r="A52" s="90" t="s">
        <v>1267</v>
      </c>
      <c r="B52" s="39"/>
      <c r="C52" s="148"/>
      <c r="M52" s="333"/>
    </row>
    <row r="53" spans="1:15" s="40" customFormat="1" ht="12.75" hidden="1" customHeight="1" x14ac:dyDescent="0.2">
      <c r="A53" s="90" t="s">
        <v>263</v>
      </c>
      <c r="B53" s="39"/>
      <c r="C53" s="148"/>
      <c r="M53" s="333"/>
    </row>
    <row r="54" spans="1:15" s="40" customFormat="1" ht="12.75" hidden="1" customHeight="1" x14ac:dyDescent="0.2">
      <c r="A54" s="90" t="s">
        <v>975</v>
      </c>
      <c r="B54" s="39"/>
      <c r="C54" s="148"/>
      <c r="M54" s="333"/>
    </row>
    <row r="55" spans="1:15" s="37" customFormat="1" ht="12.75" hidden="1" customHeight="1" x14ac:dyDescent="0.2">
      <c r="A55" s="688" t="s">
        <v>1268</v>
      </c>
      <c r="B55" s="36"/>
      <c r="C55" s="142"/>
    </row>
    <row r="56" spans="1:15" s="40" customFormat="1" ht="12.75" hidden="1" customHeight="1" x14ac:dyDescent="0.2">
      <c r="A56" s="41" t="s">
        <v>1052</v>
      </c>
      <c r="B56" s="39"/>
      <c r="C56" s="148"/>
    </row>
    <row r="57" spans="1:15" s="40" customFormat="1" ht="12.75" hidden="1" customHeight="1" x14ac:dyDescent="0.2">
      <c r="A57" s="90" t="s">
        <v>1053</v>
      </c>
      <c r="B57" s="39"/>
      <c r="C57" s="148"/>
      <c r="M57" s="333"/>
      <c r="O57" s="393"/>
    </row>
    <row r="58" spans="1:15" s="40" customFormat="1" ht="12.75" hidden="1" customHeight="1" x14ac:dyDescent="0.2">
      <c r="A58" s="90" t="s">
        <v>261</v>
      </c>
      <c r="B58" s="39"/>
      <c r="C58" s="148"/>
      <c r="M58" s="333"/>
      <c r="O58" s="393"/>
    </row>
    <row r="59" spans="1:15" s="40" customFormat="1" ht="12.75" hidden="1" customHeight="1" x14ac:dyDescent="0.2">
      <c r="A59" s="90" t="s">
        <v>975</v>
      </c>
      <c r="B59" s="39"/>
      <c r="C59" s="148"/>
      <c r="M59" s="333"/>
      <c r="O59" s="393"/>
    </row>
    <row r="60" spans="1:15" s="40" customFormat="1" ht="12.75" hidden="1" customHeight="1" x14ac:dyDescent="0.2">
      <c r="A60" s="41" t="s">
        <v>976</v>
      </c>
      <c r="B60" s="39"/>
      <c r="C60" s="148"/>
      <c r="M60" s="78"/>
      <c r="O60" s="393"/>
    </row>
    <row r="61" spans="1:15" s="40" customFormat="1" ht="12.75" hidden="1" customHeight="1" x14ac:dyDescent="0.2">
      <c r="A61" s="90" t="s">
        <v>1267</v>
      </c>
      <c r="B61" s="39"/>
      <c r="C61" s="148"/>
      <c r="M61" s="333"/>
      <c r="O61" s="393"/>
    </row>
    <row r="62" spans="1:15" s="40" customFormat="1" ht="12.75" hidden="1" customHeight="1" x14ac:dyDescent="0.2">
      <c r="A62" s="90" t="s">
        <v>263</v>
      </c>
      <c r="B62" s="39"/>
      <c r="C62" s="148"/>
      <c r="M62" s="333"/>
      <c r="O62" s="393"/>
    </row>
    <row r="63" spans="1:15" s="40" customFormat="1" ht="12.75" hidden="1" customHeight="1" x14ac:dyDescent="0.2">
      <c r="A63" s="90" t="s">
        <v>975</v>
      </c>
      <c r="B63" s="39"/>
      <c r="C63" s="148"/>
      <c r="M63" s="333"/>
      <c r="O63" s="393"/>
    </row>
    <row r="64" spans="1:15" s="37" customFormat="1" ht="12.75" hidden="1" customHeight="1" x14ac:dyDescent="0.2">
      <c r="A64" s="688" t="s">
        <v>1269</v>
      </c>
      <c r="B64" s="36"/>
      <c r="C64" s="142"/>
    </row>
    <row r="65" spans="1:13" s="40" customFormat="1" ht="12.75" hidden="1" customHeight="1" x14ac:dyDescent="0.2">
      <c r="A65" s="41" t="s">
        <v>1052</v>
      </c>
      <c r="B65" s="39"/>
      <c r="C65" s="148"/>
    </row>
    <row r="66" spans="1:13" s="40" customFormat="1" ht="12.75" hidden="1" customHeight="1" x14ac:dyDescent="0.2">
      <c r="A66" s="90" t="s">
        <v>1053</v>
      </c>
      <c r="B66" s="39"/>
      <c r="C66" s="148"/>
      <c r="M66" s="333"/>
    </row>
    <row r="67" spans="1:13" s="40" customFormat="1" ht="12.75" hidden="1" customHeight="1" x14ac:dyDescent="0.2">
      <c r="A67" s="90" t="s">
        <v>261</v>
      </c>
      <c r="B67" s="39"/>
      <c r="C67" s="148"/>
      <c r="M67" s="333"/>
    </row>
    <row r="68" spans="1:13" s="40" customFormat="1" ht="12.75" hidden="1" customHeight="1" x14ac:dyDescent="0.2">
      <c r="A68" s="90" t="s">
        <v>975</v>
      </c>
      <c r="B68" s="39"/>
      <c r="C68" s="148"/>
      <c r="M68" s="333"/>
    </row>
    <row r="69" spans="1:13" s="40" customFormat="1" ht="12.75" hidden="1" customHeight="1" x14ac:dyDescent="0.2">
      <c r="A69" s="41" t="s">
        <v>976</v>
      </c>
      <c r="B69" s="39"/>
      <c r="C69" s="148"/>
      <c r="M69" s="333"/>
    </row>
    <row r="70" spans="1:13" s="40" customFormat="1" ht="12.75" hidden="1" customHeight="1" x14ac:dyDescent="0.2">
      <c r="A70" s="90" t="s">
        <v>1267</v>
      </c>
      <c r="B70" s="39"/>
      <c r="C70" s="148"/>
      <c r="M70" s="333"/>
    </row>
    <row r="71" spans="1:13" s="40" customFormat="1" ht="12.75" hidden="1" customHeight="1" x14ac:dyDescent="0.2">
      <c r="A71" s="90" t="s">
        <v>263</v>
      </c>
      <c r="B71" s="39"/>
      <c r="C71" s="148"/>
      <c r="M71" s="333"/>
    </row>
    <row r="72" spans="1:13" s="40" customFormat="1" ht="12.75" hidden="1" customHeight="1" x14ac:dyDescent="0.2">
      <c r="A72" s="90" t="s">
        <v>975</v>
      </c>
      <c r="B72" s="39"/>
      <c r="C72" s="148"/>
      <c r="M72" s="333"/>
    </row>
    <row r="73" spans="1:13" s="37" customFormat="1" ht="12.75" hidden="1" customHeight="1" x14ac:dyDescent="0.2">
      <c r="A73" s="688" t="s">
        <v>1258</v>
      </c>
      <c r="B73" s="36"/>
      <c r="C73" s="142"/>
    </row>
    <row r="74" spans="1:13" s="40" customFormat="1" ht="12.75" hidden="1" customHeight="1" x14ac:dyDescent="0.2">
      <c r="A74" s="41" t="s">
        <v>1052</v>
      </c>
      <c r="B74" s="39"/>
      <c r="C74" s="148"/>
    </row>
    <row r="75" spans="1:13" s="40" customFormat="1" ht="12.75" hidden="1" customHeight="1" x14ac:dyDescent="0.2">
      <c r="A75" s="90" t="s">
        <v>1053</v>
      </c>
      <c r="B75" s="39"/>
      <c r="C75" s="148"/>
      <c r="M75" s="333"/>
    </row>
    <row r="76" spans="1:13" s="40" customFormat="1" ht="12.75" hidden="1" customHeight="1" x14ac:dyDescent="0.2">
      <c r="A76" s="90" t="s">
        <v>261</v>
      </c>
      <c r="B76" s="39"/>
      <c r="C76" s="148"/>
      <c r="M76" s="333"/>
    </row>
    <row r="77" spans="1:13" s="40" customFormat="1" ht="12.75" hidden="1" customHeight="1" x14ac:dyDescent="0.2">
      <c r="A77" s="90" t="s">
        <v>975</v>
      </c>
      <c r="B77" s="39"/>
      <c r="C77" s="148"/>
      <c r="M77" s="333"/>
    </row>
    <row r="78" spans="1:13" s="40" customFormat="1" ht="12.75" hidden="1" customHeight="1" x14ac:dyDescent="0.2">
      <c r="A78" s="41" t="s">
        <v>976</v>
      </c>
      <c r="B78" s="39"/>
      <c r="C78" s="148"/>
      <c r="M78" s="333"/>
    </row>
    <row r="79" spans="1:13" s="40" customFormat="1" ht="12.75" hidden="1" customHeight="1" x14ac:dyDescent="0.2">
      <c r="A79" s="90" t="s">
        <v>1270</v>
      </c>
      <c r="B79" s="39"/>
      <c r="C79" s="148"/>
      <c r="M79" s="333"/>
    </row>
    <row r="80" spans="1:13" s="40" customFormat="1" ht="12.75" hidden="1" customHeight="1" x14ac:dyDescent="0.2">
      <c r="A80" s="90" t="s">
        <v>263</v>
      </c>
      <c r="B80" s="39"/>
      <c r="C80" s="148"/>
      <c r="M80" s="333"/>
    </row>
    <row r="81" spans="1:13" s="40" customFormat="1" ht="12.75" hidden="1" customHeight="1" x14ac:dyDescent="0.2">
      <c r="A81" s="90" t="s">
        <v>975</v>
      </c>
      <c r="B81" s="39"/>
      <c r="C81" s="148"/>
      <c r="M81" s="333"/>
    </row>
    <row r="82" spans="1:13" s="37" customFormat="1" ht="12.75" hidden="1" customHeight="1" x14ac:dyDescent="0.2">
      <c r="A82" s="688" t="s">
        <v>1261</v>
      </c>
      <c r="B82" s="36"/>
      <c r="C82" s="142"/>
    </row>
    <row r="83" spans="1:13" s="40" customFormat="1" ht="12.75" hidden="1" customHeight="1" x14ac:dyDescent="0.2">
      <c r="A83" s="41" t="s">
        <v>1052</v>
      </c>
      <c r="B83" s="39"/>
      <c r="C83" s="148"/>
    </row>
    <row r="84" spans="1:13" s="40" customFormat="1" ht="12.75" hidden="1" customHeight="1" x14ac:dyDescent="0.2">
      <c r="A84" s="90" t="s">
        <v>1053</v>
      </c>
      <c r="B84" s="39"/>
      <c r="C84" s="148"/>
      <c r="M84" s="333"/>
    </row>
    <row r="85" spans="1:13" s="40" customFormat="1" ht="12.75" hidden="1" customHeight="1" x14ac:dyDescent="0.2">
      <c r="A85" s="90" t="s">
        <v>261</v>
      </c>
      <c r="B85" s="39"/>
      <c r="C85" s="148"/>
      <c r="M85" s="333"/>
    </row>
    <row r="86" spans="1:13" s="40" customFormat="1" ht="12.75" hidden="1" customHeight="1" x14ac:dyDescent="0.2">
      <c r="A86" s="90" t="s">
        <v>975</v>
      </c>
      <c r="B86" s="39"/>
      <c r="C86" s="148"/>
      <c r="M86" s="333"/>
    </row>
    <row r="87" spans="1:13" s="40" customFormat="1" ht="12.75" hidden="1" customHeight="1" x14ac:dyDescent="0.2">
      <c r="A87" s="41" t="s">
        <v>976</v>
      </c>
      <c r="B87" s="39"/>
      <c r="C87" s="148"/>
      <c r="M87" s="333"/>
    </row>
    <row r="88" spans="1:13" s="40" customFormat="1" ht="12.75" hidden="1" customHeight="1" x14ac:dyDescent="0.2">
      <c r="A88" s="90" t="s">
        <v>1267</v>
      </c>
      <c r="B88" s="39"/>
      <c r="C88" s="148"/>
      <c r="M88" s="333"/>
    </row>
    <row r="89" spans="1:13" s="40" customFormat="1" ht="12.75" hidden="1" customHeight="1" x14ac:dyDescent="0.2">
      <c r="A89" s="90" t="s">
        <v>263</v>
      </c>
      <c r="B89" s="39"/>
      <c r="C89" s="148"/>
      <c r="M89" s="333"/>
    </row>
    <row r="90" spans="1:13" s="40" customFormat="1" ht="12.75" hidden="1" customHeight="1" x14ac:dyDescent="0.2">
      <c r="A90" s="90" t="s">
        <v>975</v>
      </c>
      <c r="B90" s="39"/>
      <c r="C90" s="148"/>
      <c r="M90" s="333"/>
    </row>
    <row r="91" spans="1:13" s="37" customFormat="1" ht="12.75" hidden="1" customHeight="1" x14ac:dyDescent="0.2">
      <c r="A91" s="688" t="s">
        <v>1271</v>
      </c>
      <c r="B91" s="36"/>
      <c r="C91" s="142"/>
    </row>
    <row r="92" spans="1:13" s="40" customFormat="1" ht="12.75" hidden="1" customHeight="1" x14ac:dyDescent="0.2">
      <c r="A92" s="41" t="s">
        <v>1052</v>
      </c>
      <c r="B92" s="39"/>
      <c r="C92" s="148"/>
    </row>
    <row r="93" spans="1:13" s="40" customFormat="1" ht="12.75" hidden="1" customHeight="1" x14ac:dyDescent="0.2">
      <c r="A93" s="90" t="s">
        <v>1053</v>
      </c>
      <c r="B93" s="39"/>
      <c r="C93" s="148"/>
      <c r="M93" s="333"/>
    </row>
    <row r="94" spans="1:13" s="40" customFormat="1" ht="12.75" hidden="1" customHeight="1" x14ac:dyDescent="0.2">
      <c r="A94" s="90" t="s">
        <v>261</v>
      </c>
      <c r="B94" s="39"/>
      <c r="C94" s="148"/>
      <c r="M94" s="333"/>
    </row>
    <row r="95" spans="1:13" s="40" customFormat="1" ht="12.75" hidden="1" customHeight="1" x14ac:dyDescent="0.2">
      <c r="A95" s="90" t="s">
        <v>1054</v>
      </c>
      <c r="B95" s="39"/>
      <c r="C95" s="148"/>
      <c r="M95" s="333"/>
    </row>
    <row r="96" spans="1:13" s="40" customFormat="1" ht="12.75" hidden="1" customHeight="1" x14ac:dyDescent="0.2">
      <c r="A96" s="90" t="s">
        <v>975</v>
      </c>
      <c r="B96" s="39"/>
      <c r="C96" s="148"/>
      <c r="M96" s="333"/>
    </row>
    <row r="97" spans="1:13" s="40" customFormat="1" ht="12.75" hidden="1" customHeight="1" x14ac:dyDescent="0.2">
      <c r="A97" s="41" t="s">
        <v>976</v>
      </c>
      <c r="B97" s="39"/>
      <c r="C97" s="148"/>
      <c r="M97" s="333"/>
    </row>
    <row r="98" spans="1:13" s="40" customFormat="1" ht="12.75" hidden="1" customHeight="1" x14ac:dyDescent="0.2">
      <c r="A98" s="90" t="s">
        <v>1270</v>
      </c>
      <c r="B98" s="39"/>
      <c r="C98" s="148"/>
      <c r="M98" s="333"/>
    </row>
    <row r="99" spans="1:13" s="40" customFormat="1" ht="12.75" hidden="1" customHeight="1" x14ac:dyDescent="0.2">
      <c r="A99" s="90" t="s">
        <v>263</v>
      </c>
      <c r="B99" s="39"/>
      <c r="C99" s="148"/>
      <c r="M99" s="333"/>
    </row>
    <row r="100" spans="1:13" s="40" customFormat="1" ht="12.75" hidden="1" customHeight="1" x14ac:dyDescent="0.2">
      <c r="A100" s="90" t="s">
        <v>975</v>
      </c>
      <c r="B100" s="39"/>
      <c r="C100" s="148"/>
      <c r="M100" s="333"/>
    </row>
    <row r="101" spans="1:13" s="37" customFormat="1" ht="12.75" hidden="1" customHeight="1" x14ac:dyDescent="0.2">
      <c r="A101" s="688" t="s">
        <v>1264</v>
      </c>
      <c r="B101" s="36"/>
      <c r="C101" s="142"/>
    </row>
    <row r="102" spans="1:13" s="40" customFormat="1" ht="12.75" hidden="1" customHeight="1" x14ac:dyDescent="0.2">
      <c r="A102" s="41" t="s">
        <v>1052</v>
      </c>
      <c r="B102" s="39"/>
      <c r="C102" s="148"/>
    </row>
    <row r="103" spans="1:13" s="40" customFormat="1" ht="12.75" hidden="1" customHeight="1" x14ac:dyDescent="0.2">
      <c r="A103" s="90" t="s">
        <v>1053</v>
      </c>
      <c r="B103" s="39"/>
      <c r="C103" s="148"/>
      <c r="M103" s="333"/>
    </row>
    <row r="104" spans="1:13" s="40" customFormat="1" ht="12.75" hidden="1" customHeight="1" x14ac:dyDescent="0.2">
      <c r="A104" s="90" t="s">
        <v>261</v>
      </c>
      <c r="B104" s="39"/>
      <c r="C104" s="148"/>
      <c r="M104" s="333"/>
    </row>
    <row r="105" spans="1:13" s="40" customFormat="1" ht="12.75" hidden="1" customHeight="1" x14ac:dyDescent="0.2">
      <c r="A105" s="90" t="s">
        <v>975</v>
      </c>
      <c r="B105" s="39"/>
      <c r="C105" s="148"/>
      <c r="M105" s="333"/>
    </row>
    <row r="106" spans="1:13" s="40" customFormat="1" ht="12.75" hidden="1" customHeight="1" x14ac:dyDescent="0.2">
      <c r="A106" s="41" t="s">
        <v>976</v>
      </c>
      <c r="B106" s="39"/>
      <c r="C106" s="148"/>
      <c r="M106" s="333"/>
    </row>
    <row r="107" spans="1:13" s="40" customFormat="1" ht="12.75" hidden="1" customHeight="1" x14ac:dyDescent="0.2">
      <c r="A107" s="90" t="s">
        <v>1270</v>
      </c>
      <c r="B107" s="39"/>
      <c r="C107" s="148"/>
      <c r="M107" s="333"/>
    </row>
    <row r="108" spans="1:13" s="40" customFormat="1" ht="12.75" hidden="1" customHeight="1" x14ac:dyDescent="0.2">
      <c r="A108" s="90" t="s">
        <v>263</v>
      </c>
      <c r="B108" s="39"/>
      <c r="C108" s="148"/>
      <c r="M108" s="333"/>
    </row>
    <row r="109" spans="1:13" s="40" customFormat="1" ht="12.75" hidden="1" customHeight="1" x14ac:dyDescent="0.2">
      <c r="A109" s="90" t="s">
        <v>975</v>
      </c>
      <c r="B109" s="39"/>
      <c r="C109" s="148"/>
      <c r="M109" s="333"/>
    </row>
    <row r="110" spans="1:13" s="40" customFormat="1" ht="12.75" hidden="1" customHeight="1" x14ac:dyDescent="0.2">
      <c r="A110" s="90"/>
      <c r="B110" s="39"/>
      <c r="C110" s="148"/>
      <c r="M110" s="333"/>
    </row>
    <row r="111" spans="1:13" s="37" customFormat="1" x14ac:dyDescent="0.2">
      <c r="A111" s="688" t="s">
        <v>1272</v>
      </c>
      <c r="B111" s="36"/>
      <c r="C111" s="142"/>
    </row>
    <row r="112" spans="1:13" s="40" customFormat="1" x14ac:dyDescent="0.2">
      <c r="A112" s="41" t="s">
        <v>196</v>
      </c>
      <c r="B112" s="39"/>
      <c r="C112" s="148"/>
    </row>
    <row r="113" spans="1:17" s="40" customFormat="1" x14ac:dyDescent="0.2">
      <c r="A113" s="90" t="s">
        <v>197</v>
      </c>
      <c r="B113" s="39"/>
      <c r="C113" s="43">
        <v>2286</v>
      </c>
      <c r="D113" s="43"/>
      <c r="E113" s="43">
        <v>2217</v>
      </c>
      <c r="F113" s="43"/>
      <c r="G113" s="43"/>
      <c r="H113" s="44"/>
      <c r="I113" s="43">
        <v>2027</v>
      </c>
      <c r="J113" s="44"/>
      <c r="K113" s="44">
        <v>2034</v>
      </c>
      <c r="M113" s="356"/>
    </row>
    <row r="114" spans="1:17" s="40" customFormat="1" x14ac:dyDescent="0.2">
      <c r="A114" s="90" t="s">
        <v>261</v>
      </c>
      <c r="B114" s="39"/>
      <c r="C114" s="43">
        <v>2313</v>
      </c>
      <c r="D114" s="43"/>
      <c r="E114" s="43">
        <v>2168</v>
      </c>
      <c r="F114" s="43"/>
      <c r="G114" s="43"/>
      <c r="H114" s="44"/>
      <c r="I114" s="43">
        <v>2010</v>
      </c>
      <c r="J114" s="44"/>
      <c r="K114" s="44">
        <v>1975</v>
      </c>
      <c r="M114" s="356"/>
    </row>
    <row r="115" spans="1:17" s="40" customFormat="1" x14ac:dyDescent="0.2">
      <c r="A115" s="90" t="s">
        <v>198</v>
      </c>
      <c r="B115" s="39"/>
      <c r="C115" s="43">
        <f>SUM(C113:C114)</f>
        <v>4599</v>
      </c>
      <c r="D115" s="43"/>
      <c r="E115" s="43">
        <f>SUM(E113:E114)</f>
        <v>4385</v>
      </c>
      <c r="F115" s="43"/>
      <c r="G115" s="43"/>
      <c r="H115" s="44"/>
      <c r="I115" s="43">
        <f>SUM(I113:I114)</f>
        <v>4037</v>
      </c>
      <c r="J115" s="44"/>
      <c r="K115" s="44">
        <f>SUM(K113:K114)</f>
        <v>4009</v>
      </c>
      <c r="M115" s="356"/>
    </row>
    <row r="116" spans="1:17" s="40" customFormat="1" x14ac:dyDescent="0.2">
      <c r="A116" s="41" t="s">
        <v>199</v>
      </c>
      <c r="B116" s="39"/>
      <c r="C116" s="43"/>
      <c r="D116" s="43"/>
      <c r="E116" s="43"/>
      <c r="F116" s="43"/>
      <c r="G116" s="43"/>
      <c r="H116" s="44"/>
      <c r="I116" s="43"/>
      <c r="J116" s="44"/>
      <c r="K116" s="44"/>
      <c r="M116" s="333"/>
    </row>
    <row r="117" spans="1:17" s="40" customFormat="1" x14ac:dyDescent="0.2">
      <c r="A117" s="90" t="s">
        <v>1270</v>
      </c>
      <c r="B117" s="39"/>
      <c r="C117" s="43">
        <v>3770</v>
      </c>
      <c r="D117" s="43"/>
      <c r="E117" s="43">
        <v>3598</v>
      </c>
      <c r="F117" s="43"/>
      <c r="G117" s="43"/>
      <c r="H117" s="44"/>
      <c r="I117" s="43">
        <v>3299</v>
      </c>
      <c r="J117" s="44"/>
      <c r="K117" s="44">
        <v>3258</v>
      </c>
      <c r="M117" s="356"/>
    </row>
    <row r="118" spans="1:17" s="40" customFormat="1" x14ac:dyDescent="0.2">
      <c r="A118" s="90" t="s">
        <v>263</v>
      </c>
      <c r="B118" s="39"/>
      <c r="C118" s="43">
        <v>829</v>
      </c>
      <c r="D118" s="43"/>
      <c r="E118" s="43">
        <v>787</v>
      </c>
      <c r="F118" s="43"/>
      <c r="G118" s="43"/>
      <c r="H118" s="44"/>
      <c r="I118" s="43">
        <v>738</v>
      </c>
      <c r="J118" s="44"/>
      <c r="K118" s="44">
        <v>751</v>
      </c>
      <c r="M118" s="356"/>
    </row>
    <row r="119" spans="1:17" s="40" customFormat="1" x14ac:dyDescent="0.2">
      <c r="A119" s="90" t="s">
        <v>198</v>
      </c>
      <c r="B119" s="39"/>
      <c r="C119" s="43">
        <f>SUM(C117:C118)</f>
        <v>4599</v>
      </c>
      <c r="D119" s="43"/>
      <c r="E119" s="43">
        <f>SUM(E117:E118)</f>
        <v>4385</v>
      </c>
      <c r="F119" s="43"/>
      <c r="G119" s="43"/>
      <c r="H119" s="44"/>
      <c r="I119" s="43">
        <f>SUM(I117:I118)</f>
        <v>4037</v>
      </c>
      <c r="J119" s="44"/>
      <c r="K119" s="44">
        <f>SUM(K117:K118)</f>
        <v>4009</v>
      </c>
      <c r="M119" s="356"/>
    </row>
    <row r="120" spans="1:17" s="48" customFormat="1" x14ac:dyDescent="0.2">
      <c r="A120" s="46"/>
      <c r="B120" s="47"/>
      <c r="C120" s="331"/>
      <c r="D120" s="331"/>
      <c r="E120" s="331"/>
      <c r="F120" s="331"/>
      <c r="G120" s="331"/>
      <c r="I120" s="331"/>
    </row>
    <row r="121" spans="1:17" s="48" customFormat="1" x14ac:dyDescent="0.2">
      <c r="A121" s="49" t="s">
        <v>200</v>
      </c>
      <c r="B121" s="50"/>
      <c r="C121" s="51"/>
      <c r="D121" s="52"/>
      <c r="E121" s="53"/>
      <c r="F121" s="52"/>
      <c r="G121" s="53"/>
      <c r="H121" s="52"/>
      <c r="I121" s="53"/>
      <c r="J121" s="52"/>
      <c r="K121" s="53"/>
      <c r="L121" s="52"/>
      <c r="M121" s="51"/>
      <c r="N121" s="52"/>
    </row>
    <row r="122" spans="1:17" ht="30" customHeight="1" x14ac:dyDescent="0.2">
      <c r="A122" s="1738" t="s">
        <v>218</v>
      </c>
      <c r="B122" s="1736"/>
      <c r="C122" s="1737"/>
      <c r="D122" s="1736"/>
      <c r="E122" s="1737"/>
      <c r="F122" s="1737"/>
      <c r="G122" s="1737"/>
      <c r="H122" s="1736"/>
      <c r="I122" s="1737"/>
      <c r="J122" s="1736"/>
      <c r="K122" s="1737"/>
      <c r="L122" s="1736"/>
      <c r="M122" s="1737"/>
      <c r="N122" s="1736"/>
      <c r="O122" s="1737"/>
      <c r="P122" s="1736"/>
      <c r="Q122" s="951"/>
    </row>
    <row r="123" spans="1:17" ht="5.25" customHeight="1" x14ac:dyDescent="0.2">
      <c r="A123" s="962"/>
      <c r="B123" s="962"/>
      <c r="C123" s="962"/>
      <c r="D123" s="962"/>
      <c r="E123" s="962"/>
      <c r="F123" s="962"/>
      <c r="G123" s="962"/>
      <c r="H123" s="962"/>
      <c r="I123" s="962"/>
      <c r="J123" s="962"/>
      <c r="K123" s="962"/>
      <c r="L123" s="962"/>
      <c r="M123" s="962"/>
      <c r="N123" s="962"/>
      <c r="O123" s="962"/>
      <c r="P123" s="962"/>
      <c r="Q123" s="951"/>
    </row>
    <row r="124" spans="1:17" ht="27" customHeight="1" x14ac:dyDescent="0.2">
      <c r="A124" s="1738"/>
      <c r="B124" s="1736"/>
      <c r="C124" s="1737"/>
      <c r="D124" s="1736"/>
      <c r="E124" s="1737"/>
      <c r="F124" s="1737"/>
      <c r="G124" s="1737"/>
      <c r="H124" s="1736"/>
      <c r="I124" s="1737"/>
      <c r="J124" s="1736"/>
      <c r="K124" s="1737"/>
      <c r="L124" s="1736"/>
      <c r="M124" s="1737"/>
      <c r="N124" s="1736"/>
      <c r="O124" s="1737"/>
      <c r="P124" s="1736"/>
      <c r="Q124" s="951"/>
    </row>
    <row r="125" spans="1:17" ht="5.25" customHeight="1" x14ac:dyDescent="0.25">
      <c r="A125" s="963"/>
    </row>
    <row r="126" spans="1:17" x14ac:dyDescent="0.2">
      <c r="A126" s="1738"/>
      <c r="B126" s="1736"/>
      <c r="C126" s="1737"/>
      <c r="D126" s="1736"/>
      <c r="E126" s="1737"/>
      <c r="F126" s="1737"/>
      <c r="G126" s="1737"/>
      <c r="H126" s="1736"/>
      <c r="I126" s="1737"/>
      <c r="J126" s="1736"/>
      <c r="K126" s="1737"/>
      <c r="L126" s="1736"/>
      <c r="M126" s="1737"/>
      <c r="N126" s="1736"/>
      <c r="O126" s="1737"/>
      <c r="P126" s="1736"/>
    </row>
    <row r="127" spans="1:17" ht="5.25" customHeight="1" x14ac:dyDescent="0.2">
      <c r="A127" s="1755"/>
      <c r="B127" s="1736"/>
      <c r="C127" s="1737"/>
      <c r="D127" s="1736"/>
      <c r="E127" s="1737"/>
      <c r="F127" s="1736"/>
      <c r="G127" s="1737"/>
      <c r="H127" s="1736"/>
      <c r="I127" s="1737"/>
      <c r="J127" s="1736"/>
      <c r="K127" s="1737"/>
      <c r="L127" s="1736"/>
      <c r="M127" s="1737"/>
      <c r="N127" s="1736"/>
    </row>
    <row r="137" spans="1:17" x14ac:dyDescent="0.2">
      <c r="A137" s="55"/>
      <c r="B137" s="54"/>
      <c r="C137" s="56"/>
      <c r="D137" s="54"/>
      <c r="E137" s="56"/>
      <c r="F137" s="54"/>
      <c r="G137" s="56"/>
      <c r="H137" s="54"/>
      <c r="I137" s="56"/>
      <c r="J137" s="54"/>
      <c r="K137" s="56"/>
      <c r="L137" s="54"/>
      <c r="M137" s="56"/>
      <c r="N137" s="54"/>
      <c r="O137" s="54"/>
      <c r="P137" s="54"/>
    </row>
    <row r="138" spans="1:17" x14ac:dyDescent="0.2">
      <c r="A138" s="55"/>
      <c r="B138" s="54"/>
      <c r="C138" s="107"/>
      <c r="D138" s="54"/>
      <c r="E138" s="107"/>
      <c r="F138" s="54"/>
      <c r="G138" s="107"/>
      <c r="H138" s="54"/>
      <c r="I138" s="107"/>
      <c r="J138" s="54"/>
      <c r="K138" s="107"/>
      <c r="L138" s="54"/>
      <c r="M138" s="107"/>
      <c r="N138" s="54"/>
      <c r="O138" s="54"/>
      <c r="P138" s="54"/>
    </row>
    <row r="139" spans="1:17" x14ac:dyDescent="0.2">
      <c r="A139" s="55"/>
      <c r="B139" s="54"/>
      <c r="C139" s="54"/>
      <c r="D139" s="54"/>
      <c r="E139" s="54"/>
      <c r="F139" s="54"/>
      <c r="G139" s="54"/>
      <c r="H139" s="54"/>
      <c r="I139" s="54"/>
      <c r="J139" s="54"/>
      <c r="K139" s="54"/>
      <c r="L139" s="54"/>
      <c r="M139" s="54"/>
      <c r="N139" s="54"/>
      <c r="O139" s="54"/>
      <c r="P139" s="54"/>
    </row>
    <row r="140" spans="1:17" x14ac:dyDescent="0.2">
      <c r="A140" s="55"/>
      <c r="B140" s="54"/>
      <c r="C140" s="54"/>
      <c r="D140" s="54"/>
      <c r="E140" s="54"/>
      <c r="F140" s="54"/>
      <c r="G140" s="54"/>
      <c r="H140" s="54"/>
      <c r="I140" s="54"/>
      <c r="J140" s="54"/>
      <c r="K140" s="54"/>
      <c r="L140" s="54"/>
      <c r="M140" s="54"/>
      <c r="N140" s="54"/>
      <c r="O140" s="54"/>
      <c r="P140" s="54"/>
      <c r="Q140" s="57"/>
    </row>
    <row r="141" spans="1:17" x14ac:dyDescent="0.2">
      <c r="B141" s="25"/>
      <c r="C141" s="25"/>
      <c r="D141" s="25"/>
      <c r="E141" s="58"/>
      <c r="F141" s="58"/>
      <c r="G141" s="58"/>
      <c r="H141" s="58"/>
    </row>
    <row r="142" spans="1:17" x14ac:dyDescent="0.2">
      <c r="B142" s="25"/>
      <c r="C142" s="25"/>
      <c r="D142" s="25"/>
      <c r="E142" s="58"/>
      <c r="F142" s="58"/>
      <c r="G142" s="58"/>
      <c r="H142" s="58"/>
    </row>
    <row r="143" spans="1:17" x14ac:dyDescent="0.2">
      <c r="B143" s="25"/>
      <c r="C143" s="25"/>
      <c r="D143" s="25"/>
      <c r="E143" s="58"/>
      <c r="F143" s="58"/>
      <c r="G143" s="58"/>
      <c r="H143" s="58"/>
    </row>
    <row r="144" spans="1:17" x14ac:dyDescent="0.2">
      <c r="B144" s="25"/>
      <c r="C144" s="25"/>
      <c r="D144" s="25"/>
      <c r="E144" s="58"/>
      <c r="F144" s="58"/>
      <c r="G144" s="58"/>
      <c r="H144" s="58"/>
    </row>
    <row r="145" spans="2:8" x14ac:dyDescent="0.2">
      <c r="B145" s="25"/>
      <c r="C145" s="25"/>
      <c r="D145" s="25"/>
      <c r="E145" s="58"/>
      <c r="F145" s="58"/>
      <c r="G145" s="58"/>
      <c r="H145" s="58"/>
    </row>
    <row r="146" spans="2:8" x14ac:dyDescent="0.2">
      <c r="B146" s="25"/>
      <c r="C146" s="25"/>
      <c r="D146" s="25"/>
      <c r="E146" s="58"/>
      <c r="F146" s="58"/>
      <c r="G146" s="58"/>
      <c r="H146" s="58"/>
    </row>
    <row r="147" spans="2:8" x14ac:dyDescent="0.2">
      <c r="B147" s="25"/>
      <c r="C147" s="25"/>
      <c r="D147" s="25"/>
      <c r="E147" s="58"/>
      <c r="F147" s="58"/>
      <c r="G147" s="58"/>
      <c r="H147" s="58"/>
    </row>
    <row r="148" spans="2:8" x14ac:dyDescent="0.2">
      <c r="B148" s="25"/>
      <c r="C148" s="25"/>
      <c r="D148" s="25"/>
      <c r="E148" s="58"/>
      <c r="F148" s="58"/>
      <c r="G148" s="58"/>
      <c r="H148" s="58"/>
    </row>
    <row r="149" spans="2:8" x14ac:dyDescent="0.2">
      <c r="B149" s="25"/>
      <c r="C149" s="25"/>
      <c r="D149" s="25"/>
      <c r="E149" s="58"/>
      <c r="F149" s="58"/>
      <c r="G149" s="58"/>
      <c r="H149" s="58"/>
    </row>
    <row r="150" spans="2:8" x14ac:dyDescent="0.2">
      <c r="B150" s="25"/>
      <c r="C150" s="25"/>
      <c r="D150" s="25"/>
      <c r="E150" s="58"/>
      <c r="F150" s="58"/>
      <c r="G150" s="58"/>
      <c r="H150" s="58"/>
    </row>
    <row r="151" spans="2:8" x14ac:dyDescent="0.2">
      <c r="B151" s="25"/>
      <c r="C151" s="25"/>
      <c r="D151" s="25"/>
      <c r="E151" s="58"/>
      <c r="F151" s="58"/>
      <c r="G151" s="58"/>
      <c r="H151" s="58"/>
    </row>
    <row r="152" spans="2:8" x14ac:dyDescent="0.2">
      <c r="B152" s="25"/>
      <c r="C152" s="25"/>
      <c r="D152" s="25"/>
      <c r="E152" s="58"/>
      <c r="F152" s="58"/>
      <c r="G152" s="58"/>
      <c r="H152" s="58"/>
    </row>
    <row r="153" spans="2:8" x14ac:dyDescent="0.2">
      <c r="B153" s="25"/>
      <c r="C153" s="25"/>
      <c r="D153" s="25"/>
      <c r="E153" s="58"/>
      <c r="F153" s="58"/>
      <c r="G153" s="58"/>
      <c r="H153" s="58"/>
    </row>
    <row r="154" spans="2:8" x14ac:dyDescent="0.2">
      <c r="B154" s="25"/>
      <c r="C154" s="25"/>
      <c r="D154" s="25"/>
      <c r="E154" s="58"/>
      <c r="F154" s="58"/>
      <c r="G154" s="58"/>
      <c r="H154" s="58"/>
    </row>
    <row r="155" spans="2:8" x14ac:dyDescent="0.2">
      <c r="B155" s="25"/>
      <c r="C155" s="25"/>
      <c r="D155" s="25"/>
      <c r="E155" s="58"/>
      <c r="F155" s="58"/>
      <c r="G155" s="58"/>
      <c r="H155" s="58"/>
    </row>
    <row r="156" spans="2:8" x14ac:dyDescent="0.2">
      <c r="B156" s="25"/>
      <c r="C156" s="25"/>
      <c r="D156" s="25"/>
      <c r="E156" s="58"/>
      <c r="F156" s="58"/>
      <c r="G156" s="58"/>
      <c r="H156" s="58"/>
    </row>
    <row r="157" spans="2:8" x14ac:dyDescent="0.2">
      <c r="B157" s="25"/>
      <c r="C157" s="25"/>
      <c r="D157" s="25"/>
      <c r="E157" s="58"/>
      <c r="F157" s="58"/>
      <c r="G157" s="58"/>
      <c r="H157" s="58"/>
    </row>
    <row r="158" spans="2:8" x14ac:dyDescent="0.2">
      <c r="B158" s="25"/>
      <c r="C158" s="25"/>
      <c r="D158" s="25"/>
      <c r="E158" s="58"/>
      <c r="F158" s="58"/>
      <c r="G158" s="58"/>
      <c r="H158" s="58"/>
    </row>
    <row r="159" spans="2:8" x14ac:dyDescent="0.2">
      <c r="B159" s="25"/>
      <c r="C159" s="25"/>
      <c r="D159" s="25"/>
      <c r="E159" s="58"/>
      <c r="F159" s="58"/>
      <c r="G159" s="58"/>
      <c r="H159" s="58"/>
    </row>
    <row r="160" spans="2:8" x14ac:dyDescent="0.2">
      <c r="B160" s="25"/>
      <c r="C160" s="25"/>
      <c r="D160" s="25"/>
      <c r="E160" s="58"/>
      <c r="F160" s="58"/>
      <c r="G160" s="58"/>
      <c r="H160" s="58"/>
    </row>
    <row r="161" spans="2:8" x14ac:dyDescent="0.2">
      <c r="B161" s="25"/>
      <c r="C161" s="25"/>
      <c r="D161" s="25"/>
      <c r="E161" s="58"/>
      <c r="F161" s="58"/>
      <c r="G161" s="58"/>
      <c r="H161" s="58"/>
    </row>
    <row r="162" spans="2:8" x14ac:dyDescent="0.2">
      <c r="B162" s="25"/>
      <c r="C162" s="25"/>
      <c r="D162" s="25"/>
      <c r="E162" s="58"/>
      <c r="F162" s="58"/>
      <c r="G162" s="58"/>
      <c r="H162" s="58"/>
    </row>
    <row r="163" spans="2:8" x14ac:dyDescent="0.2">
      <c r="B163" s="25"/>
      <c r="C163" s="25"/>
      <c r="D163" s="25"/>
      <c r="E163" s="58"/>
      <c r="F163" s="58"/>
      <c r="G163" s="58"/>
      <c r="H163" s="58"/>
    </row>
    <row r="164" spans="2:8" x14ac:dyDescent="0.2">
      <c r="B164" s="25"/>
      <c r="C164" s="25"/>
      <c r="D164" s="25"/>
      <c r="E164" s="58"/>
      <c r="F164" s="58"/>
      <c r="G164" s="58"/>
      <c r="H164" s="58"/>
    </row>
    <row r="165" spans="2:8" x14ac:dyDescent="0.2">
      <c r="B165" s="25"/>
      <c r="C165" s="25"/>
      <c r="D165" s="25"/>
      <c r="E165" s="58"/>
      <c r="F165" s="58"/>
      <c r="G165" s="58"/>
      <c r="H165" s="58"/>
    </row>
    <row r="166" spans="2:8" x14ac:dyDescent="0.2">
      <c r="B166" s="25"/>
      <c r="C166" s="25"/>
      <c r="D166" s="25"/>
      <c r="E166" s="58"/>
      <c r="F166" s="58"/>
      <c r="G166" s="58"/>
      <c r="H166" s="58"/>
    </row>
    <row r="167" spans="2:8" x14ac:dyDescent="0.2">
      <c r="B167" s="25"/>
      <c r="C167" s="25"/>
      <c r="D167" s="25"/>
      <c r="E167" s="58"/>
      <c r="F167" s="58"/>
      <c r="G167" s="58"/>
      <c r="H167" s="58"/>
    </row>
    <row r="168" spans="2:8" x14ac:dyDescent="0.2">
      <c r="B168" s="25"/>
      <c r="C168" s="25"/>
      <c r="D168" s="25"/>
      <c r="E168" s="58"/>
      <c r="F168" s="58"/>
      <c r="G168" s="58"/>
      <c r="H168" s="58"/>
    </row>
    <row r="169" spans="2:8" x14ac:dyDescent="0.2">
      <c r="B169" s="25"/>
      <c r="C169" s="25"/>
      <c r="D169" s="25"/>
      <c r="E169" s="58"/>
      <c r="F169" s="58"/>
      <c r="G169" s="58"/>
      <c r="H169" s="58"/>
    </row>
    <row r="170" spans="2:8" x14ac:dyDescent="0.2">
      <c r="B170" s="25"/>
    </row>
    <row r="171" spans="2:8" x14ac:dyDescent="0.2">
      <c r="B171" s="25"/>
    </row>
    <row r="172" spans="2:8" x14ac:dyDescent="0.2">
      <c r="B172" s="25"/>
    </row>
    <row r="173" spans="2:8" x14ac:dyDescent="0.2">
      <c r="B173" s="25"/>
    </row>
    <row r="174" spans="2:8" x14ac:dyDescent="0.2">
      <c r="B174" s="25"/>
    </row>
    <row r="175" spans="2:8" x14ac:dyDescent="0.2">
      <c r="B175" s="25"/>
    </row>
    <row r="176" spans="2:8" x14ac:dyDescent="0.2">
      <c r="B176" s="25"/>
    </row>
    <row r="177" spans="2:2" x14ac:dyDescent="0.2">
      <c r="B177" s="25"/>
    </row>
    <row r="178" spans="2:2" x14ac:dyDescent="0.2">
      <c r="B178" s="25"/>
    </row>
    <row r="179" spans="2:2" x14ac:dyDescent="0.2">
      <c r="B179" s="25"/>
    </row>
    <row r="180" spans="2:2" x14ac:dyDescent="0.2">
      <c r="B180" s="25"/>
    </row>
    <row r="181" spans="2:2" x14ac:dyDescent="0.2">
      <c r="B181" s="25"/>
    </row>
    <row r="182" spans="2:2" x14ac:dyDescent="0.2">
      <c r="B182" s="25"/>
    </row>
    <row r="183" spans="2:2" x14ac:dyDescent="0.2">
      <c r="B183" s="25"/>
    </row>
    <row r="184" spans="2:2" x14ac:dyDescent="0.2">
      <c r="B184" s="25"/>
    </row>
    <row r="185" spans="2:2" x14ac:dyDescent="0.2">
      <c r="B185" s="25"/>
    </row>
    <row r="186" spans="2:2" x14ac:dyDescent="0.2">
      <c r="B186" s="25"/>
    </row>
  </sheetData>
  <mergeCells count="5">
    <mergeCell ref="A122:P122"/>
    <mergeCell ref="A124:P124"/>
    <mergeCell ref="A126:P126"/>
    <mergeCell ref="A127:N127"/>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74" pageOrder="overThenDown" orientation="portrait" blackAndWhite="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2">
    <pageSetUpPr fitToPage="1"/>
  </sheetPr>
  <dimension ref="A1:Q121"/>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58.42578125" style="25" bestFit="1" customWidth="1"/>
    <col min="2" max="2" width="6.42578125" style="26" bestFit="1"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1060</v>
      </c>
      <c r="C3" s="10" t="s">
        <v>1061</v>
      </c>
      <c r="D3" s="6"/>
      <c r="E3" s="11"/>
      <c r="F3" s="9"/>
      <c r="G3" s="11"/>
      <c r="H3" s="6"/>
      <c r="I3" s="11"/>
      <c r="J3" s="6"/>
      <c r="K3" s="1734"/>
      <c r="L3" s="6"/>
      <c r="M3" s="11"/>
      <c r="N3" s="6"/>
    </row>
    <row r="4" spans="1:16" s="4" customFormat="1" ht="15.75" x14ac:dyDescent="0.25">
      <c r="A4" s="1" t="s">
        <v>180</v>
      </c>
      <c r="B4" s="10" t="s">
        <v>658</v>
      </c>
      <c r="C4" s="10" t="s">
        <v>13</v>
      </c>
      <c r="D4" s="6"/>
      <c r="E4" s="11"/>
      <c r="F4" s="9"/>
      <c r="G4" s="11"/>
      <c r="H4" s="6"/>
      <c r="I4" s="11"/>
      <c r="J4" s="6"/>
      <c r="K4" s="11"/>
      <c r="L4" s="6"/>
      <c r="M4" s="11"/>
      <c r="N4" s="6"/>
    </row>
    <row r="5" spans="1:16" s="4" customFormat="1" ht="15.75" x14ac:dyDescent="0.2">
      <c r="A5" s="1" t="s">
        <v>183</v>
      </c>
      <c r="B5" s="12" t="s">
        <v>1273</v>
      </c>
      <c r="C5" s="12" t="s">
        <v>31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73"/>
      <c r="E10" s="73"/>
      <c r="I10" s="73"/>
      <c r="K10" s="73"/>
    </row>
    <row r="11" spans="1:16" s="37" customFormat="1" x14ac:dyDescent="0.2">
      <c r="A11" s="35" t="s">
        <v>1274</v>
      </c>
      <c r="B11" s="36"/>
      <c r="C11" s="73"/>
      <c r="E11" s="73"/>
      <c r="I11" s="73"/>
      <c r="K11" s="73"/>
    </row>
    <row r="12" spans="1:16" s="40" customFormat="1" x14ac:dyDescent="0.2">
      <c r="A12" s="41" t="s">
        <v>1275</v>
      </c>
      <c r="B12" s="39"/>
      <c r="C12" s="74"/>
      <c r="E12" s="74"/>
      <c r="I12" s="74"/>
      <c r="K12" s="74"/>
    </row>
    <row r="13" spans="1:16" s="40" customFormat="1" x14ac:dyDescent="0.2">
      <c r="A13" s="90" t="s">
        <v>987</v>
      </c>
      <c r="B13" s="39"/>
      <c r="C13" s="75">
        <v>3141</v>
      </c>
      <c r="E13" s="75">
        <v>3260</v>
      </c>
      <c r="G13" s="76">
        <v>3200</v>
      </c>
      <c r="I13" s="75">
        <v>3350</v>
      </c>
      <c r="K13" s="75">
        <v>3400</v>
      </c>
      <c r="M13" s="77"/>
    </row>
    <row r="14" spans="1:16" s="40" customFormat="1" x14ac:dyDescent="0.2">
      <c r="A14" s="90" t="s">
        <v>1276</v>
      </c>
      <c r="B14" s="39"/>
      <c r="C14" s="75">
        <v>258</v>
      </c>
      <c r="E14" s="75">
        <v>234</v>
      </c>
      <c r="G14" s="76">
        <v>305</v>
      </c>
      <c r="I14" s="75">
        <v>250</v>
      </c>
      <c r="K14" s="75">
        <v>280</v>
      </c>
      <c r="M14" s="77"/>
    </row>
    <row r="15" spans="1:16" s="40" customFormat="1" x14ac:dyDescent="0.2">
      <c r="A15" s="863" t="s">
        <v>1277</v>
      </c>
      <c r="B15" s="39"/>
      <c r="C15" s="75">
        <v>254</v>
      </c>
      <c r="E15" s="75">
        <v>215</v>
      </c>
      <c r="G15" s="76">
        <v>295</v>
      </c>
      <c r="I15" s="75">
        <v>240</v>
      </c>
      <c r="K15" s="75">
        <v>276</v>
      </c>
      <c r="M15" s="77"/>
    </row>
    <row r="16" spans="1:16" s="40" customFormat="1" x14ac:dyDescent="0.2">
      <c r="A16" s="131" t="s">
        <v>1278</v>
      </c>
      <c r="B16" s="39"/>
      <c r="C16" s="75">
        <v>4</v>
      </c>
      <c r="E16" s="75">
        <v>19</v>
      </c>
      <c r="G16" s="76">
        <v>10</v>
      </c>
      <c r="I16" s="75">
        <v>10</v>
      </c>
      <c r="K16" s="75">
        <v>4</v>
      </c>
      <c r="M16" s="77"/>
    </row>
    <row r="17" spans="1:13" s="40" customFormat="1" x14ac:dyDescent="0.2">
      <c r="A17" s="90" t="s">
        <v>1279</v>
      </c>
      <c r="B17" s="39"/>
      <c r="C17" s="1710">
        <v>26780</v>
      </c>
      <c r="E17" s="1710">
        <v>26525</v>
      </c>
      <c r="G17" s="611">
        <v>27000</v>
      </c>
      <c r="I17" s="1710">
        <v>27000</v>
      </c>
      <c r="K17" s="1710">
        <v>27500</v>
      </c>
      <c r="M17" s="116"/>
    </row>
    <row r="18" spans="1:13" s="40" customFormat="1" x14ac:dyDescent="0.2">
      <c r="A18" s="90" t="s">
        <v>1280</v>
      </c>
      <c r="B18" s="39"/>
      <c r="C18" s="1710">
        <v>5445</v>
      </c>
      <c r="E18" s="1710">
        <v>5522</v>
      </c>
      <c r="G18" s="611">
        <v>5600</v>
      </c>
      <c r="I18" s="1710">
        <v>5600</v>
      </c>
      <c r="K18" s="1710">
        <v>5675</v>
      </c>
      <c r="M18" s="116"/>
    </row>
    <row r="19" spans="1:13" s="40" customFormat="1" x14ac:dyDescent="0.2">
      <c r="A19" s="90" t="s">
        <v>1281</v>
      </c>
      <c r="B19" s="39"/>
      <c r="C19" s="1710">
        <v>7660</v>
      </c>
      <c r="E19" s="1710">
        <v>9000</v>
      </c>
      <c r="G19" s="611">
        <v>8000</v>
      </c>
      <c r="I19" s="1710">
        <v>9500</v>
      </c>
      <c r="K19" s="1710">
        <v>10000</v>
      </c>
      <c r="M19" s="116"/>
    </row>
    <row r="20" spans="1:13" s="40" customFormat="1" x14ac:dyDescent="0.2">
      <c r="A20" s="90" t="s">
        <v>1282</v>
      </c>
      <c r="B20" s="39"/>
      <c r="C20" s="75">
        <v>14</v>
      </c>
      <c r="E20" s="75">
        <v>14</v>
      </c>
      <c r="G20" s="76">
        <v>19</v>
      </c>
      <c r="I20" s="75">
        <v>16</v>
      </c>
      <c r="K20" s="75">
        <v>17</v>
      </c>
      <c r="M20" s="77"/>
    </row>
    <row r="21" spans="1:13" s="40" customFormat="1" x14ac:dyDescent="0.2">
      <c r="A21" s="131" t="s">
        <v>211</v>
      </c>
      <c r="B21" s="39"/>
      <c r="C21" s="79"/>
      <c r="E21" s="79"/>
      <c r="G21" s="63"/>
      <c r="I21" s="79"/>
      <c r="K21" s="79"/>
    </row>
    <row r="22" spans="1:13" s="40" customFormat="1" x14ac:dyDescent="0.2">
      <c r="A22" s="41" t="s">
        <v>1283</v>
      </c>
      <c r="B22" s="39"/>
      <c r="C22" s="79"/>
      <c r="E22" s="79"/>
      <c r="G22" s="63"/>
      <c r="I22" s="79"/>
      <c r="K22" s="79"/>
    </row>
    <row r="23" spans="1:13" s="40" customFormat="1" x14ac:dyDescent="0.2">
      <c r="A23" s="90" t="s">
        <v>1284</v>
      </c>
      <c r="B23" s="39"/>
      <c r="C23" s="75">
        <v>4090</v>
      </c>
      <c r="E23" s="75">
        <v>3940</v>
      </c>
      <c r="G23" s="76">
        <v>3975</v>
      </c>
      <c r="I23" s="75">
        <v>3960</v>
      </c>
      <c r="K23" s="75">
        <v>3975</v>
      </c>
      <c r="M23" s="77"/>
    </row>
    <row r="24" spans="1:13" s="40" customFormat="1" x14ac:dyDescent="0.2">
      <c r="A24" s="90" t="s">
        <v>1285</v>
      </c>
      <c r="B24" s="39"/>
      <c r="C24" s="75">
        <v>1813</v>
      </c>
      <c r="E24" s="75">
        <v>1949</v>
      </c>
      <c r="G24" s="76">
        <v>1825</v>
      </c>
      <c r="I24" s="75">
        <v>2000</v>
      </c>
      <c r="K24" s="75">
        <v>2025</v>
      </c>
      <c r="M24" s="77"/>
    </row>
    <row r="25" spans="1:13" s="40" customFormat="1" x14ac:dyDescent="0.2">
      <c r="A25" s="90" t="s">
        <v>1286</v>
      </c>
      <c r="B25" s="39"/>
      <c r="C25" s="75">
        <v>1658</v>
      </c>
      <c r="E25" s="75">
        <v>1922</v>
      </c>
      <c r="G25" s="76">
        <v>1675</v>
      </c>
      <c r="I25" s="75">
        <v>1975</v>
      </c>
      <c r="K25" s="75">
        <v>2000</v>
      </c>
      <c r="M25" s="77"/>
    </row>
    <row r="26" spans="1:13" s="40" customFormat="1" x14ac:dyDescent="0.2">
      <c r="A26" s="90" t="s">
        <v>1287</v>
      </c>
      <c r="B26" s="39"/>
      <c r="C26" s="75">
        <v>1703</v>
      </c>
      <c r="E26" s="75">
        <v>1711</v>
      </c>
      <c r="G26" s="76">
        <v>1725</v>
      </c>
      <c r="I26" s="75">
        <v>1775</v>
      </c>
      <c r="K26" s="75">
        <v>1800</v>
      </c>
      <c r="M26" s="77"/>
    </row>
    <row r="27" spans="1:13" s="40" customFormat="1" x14ac:dyDescent="0.2">
      <c r="A27" s="131" t="s">
        <v>211</v>
      </c>
      <c r="B27" s="39"/>
      <c r="C27" s="79"/>
      <c r="E27" s="79"/>
      <c r="G27" s="63"/>
      <c r="I27" s="79"/>
      <c r="K27" s="79"/>
      <c r="M27" s="64"/>
    </row>
    <row r="28" spans="1:13" s="40" customFormat="1" x14ac:dyDescent="0.2">
      <c r="A28" s="41" t="s">
        <v>1288</v>
      </c>
      <c r="B28" s="39"/>
      <c r="C28" s="79"/>
      <c r="E28" s="79"/>
      <c r="G28" s="63"/>
      <c r="I28" s="79"/>
      <c r="K28" s="79"/>
    </row>
    <row r="29" spans="1:13" s="40" customFormat="1" x14ac:dyDescent="0.2">
      <c r="A29" s="90" t="s">
        <v>1289</v>
      </c>
      <c r="B29" s="39"/>
      <c r="C29" s="75">
        <v>37757</v>
      </c>
      <c r="E29" s="75">
        <v>35214</v>
      </c>
      <c r="G29" s="76">
        <v>38750</v>
      </c>
      <c r="I29" s="75">
        <v>36000</v>
      </c>
      <c r="K29" s="75">
        <v>36500</v>
      </c>
      <c r="M29" s="77"/>
    </row>
    <row r="30" spans="1:13" s="40" customFormat="1" x14ac:dyDescent="0.2">
      <c r="A30" s="131" t="s">
        <v>1290</v>
      </c>
      <c r="B30" s="39"/>
      <c r="C30" s="75">
        <v>6569</v>
      </c>
      <c r="E30" s="75">
        <v>6551</v>
      </c>
      <c r="G30" s="76">
        <v>6720</v>
      </c>
      <c r="I30" s="75">
        <v>6575</v>
      </c>
      <c r="K30" s="75">
        <v>6600</v>
      </c>
      <c r="M30" s="77"/>
    </row>
    <row r="31" spans="1:13" s="40" customFormat="1" x14ac:dyDescent="0.2">
      <c r="A31" s="131" t="s">
        <v>1291</v>
      </c>
      <c r="B31" s="39"/>
      <c r="C31" s="75">
        <v>23834</v>
      </c>
      <c r="E31" s="75">
        <v>21715</v>
      </c>
      <c r="G31" s="76">
        <v>24425</v>
      </c>
      <c r="I31" s="75">
        <v>22300</v>
      </c>
      <c r="K31" s="75">
        <v>22695</v>
      </c>
      <c r="M31" s="77"/>
    </row>
    <row r="32" spans="1:13" s="40" customFormat="1" x14ac:dyDescent="0.2">
      <c r="A32" s="131" t="s">
        <v>1292</v>
      </c>
      <c r="B32" s="39"/>
      <c r="C32" s="75">
        <v>5896</v>
      </c>
      <c r="E32" s="75">
        <v>5704</v>
      </c>
      <c r="G32" s="76">
        <v>6040</v>
      </c>
      <c r="I32" s="75">
        <v>5800</v>
      </c>
      <c r="K32" s="75">
        <v>5830</v>
      </c>
      <c r="M32" s="77"/>
    </row>
    <row r="33" spans="1:13" s="40" customFormat="1" x14ac:dyDescent="0.2">
      <c r="A33" s="131" t="s">
        <v>1293</v>
      </c>
      <c r="B33" s="39"/>
      <c r="C33" s="75">
        <v>1458</v>
      </c>
      <c r="E33" s="75">
        <v>1244</v>
      </c>
      <c r="G33" s="76">
        <v>1565</v>
      </c>
      <c r="I33" s="75">
        <v>1325</v>
      </c>
      <c r="K33" s="75">
        <v>1375</v>
      </c>
      <c r="M33" s="77"/>
    </row>
    <row r="34" spans="1:13" s="40" customFormat="1" x14ac:dyDescent="0.2">
      <c r="A34" s="90" t="s">
        <v>1294</v>
      </c>
      <c r="B34" s="39"/>
      <c r="C34" s="75">
        <v>3910</v>
      </c>
      <c r="E34" s="75">
        <v>3525</v>
      </c>
      <c r="G34" s="76">
        <v>4000</v>
      </c>
      <c r="I34" s="75">
        <v>3600</v>
      </c>
      <c r="K34" s="75">
        <v>3650</v>
      </c>
      <c r="M34" s="77"/>
    </row>
    <row r="35" spans="1:13" s="40" customFormat="1" x14ac:dyDescent="0.2">
      <c r="A35" s="90" t="s">
        <v>1295</v>
      </c>
      <c r="B35" s="39"/>
      <c r="C35" s="75">
        <v>295</v>
      </c>
      <c r="E35" s="75">
        <v>226</v>
      </c>
      <c r="G35" s="76">
        <v>360</v>
      </c>
      <c r="I35" s="75">
        <v>250</v>
      </c>
      <c r="K35" s="75">
        <v>265</v>
      </c>
      <c r="M35" s="77"/>
    </row>
    <row r="36" spans="1:13" s="40" customFormat="1" x14ac:dyDescent="0.2">
      <c r="A36" s="858" t="s">
        <v>1296</v>
      </c>
      <c r="B36" s="39"/>
      <c r="C36" s="75">
        <v>2074</v>
      </c>
      <c r="E36" s="75">
        <v>1581</v>
      </c>
      <c r="G36" s="76">
        <v>2200</v>
      </c>
      <c r="I36" s="75">
        <v>1580</v>
      </c>
      <c r="K36" s="75">
        <v>1600</v>
      </c>
      <c r="M36" s="77"/>
    </row>
    <row r="37" spans="1:13" s="40" customFormat="1" x14ac:dyDescent="0.2">
      <c r="A37" s="90" t="s">
        <v>1297</v>
      </c>
      <c r="B37" s="39"/>
      <c r="C37" s="75">
        <v>1409</v>
      </c>
      <c r="E37" s="75">
        <v>1554</v>
      </c>
      <c r="G37" s="76">
        <v>1500</v>
      </c>
      <c r="I37" s="75">
        <v>1600</v>
      </c>
      <c r="K37" s="75">
        <v>1650</v>
      </c>
      <c r="M37" s="77"/>
    </row>
    <row r="38" spans="1:13" s="40" customFormat="1" x14ac:dyDescent="0.2">
      <c r="A38" s="131" t="s">
        <v>211</v>
      </c>
      <c r="B38" s="39"/>
      <c r="C38" s="79"/>
      <c r="E38" s="79"/>
      <c r="G38" s="63"/>
      <c r="I38" s="79"/>
      <c r="K38" s="79"/>
      <c r="M38" s="64"/>
    </row>
    <row r="39" spans="1:13" s="40" customFormat="1" x14ac:dyDescent="0.2">
      <c r="A39" s="41" t="s">
        <v>1298</v>
      </c>
      <c r="B39" s="39"/>
      <c r="C39" s="79"/>
      <c r="E39" s="79"/>
      <c r="G39" s="63"/>
      <c r="I39" s="79"/>
      <c r="K39" s="79"/>
    </row>
    <row r="40" spans="1:13" s="40" customFormat="1" x14ac:dyDescent="0.2">
      <c r="A40" s="90" t="s">
        <v>1299</v>
      </c>
      <c r="B40" s="39"/>
      <c r="C40" s="75">
        <v>2312</v>
      </c>
      <c r="E40" s="75">
        <v>2403</v>
      </c>
      <c r="G40" s="76">
        <v>2350</v>
      </c>
      <c r="I40" s="75">
        <v>2450</v>
      </c>
      <c r="K40" s="75">
        <v>2500</v>
      </c>
      <c r="M40" s="77"/>
    </row>
    <row r="41" spans="1:13" s="40" customFormat="1" x14ac:dyDescent="0.2">
      <c r="A41" s="90" t="s">
        <v>1300</v>
      </c>
      <c r="B41" s="39"/>
      <c r="C41" s="75">
        <v>225</v>
      </c>
      <c r="E41" s="75">
        <v>230</v>
      </c>
      <c r="G41" s="76">
        <v>235</v>
      </c>
      <c r="I41" s="75">
        <v>235</v>
      </c>
      <c r="K41" s="75">
        <v>240</v>
      </c>
      <c r="M41" s="77"/>
    </row>
    <row r="42" spans="1:13" s="40" customFormat="1" x14ac:dyDescent="0.2">
      <c r="A42" s="90" t="s">
        <v>1301</v>
      </c>
      <c r="B42" s="39"/>
      <c r="C42" s="75">
        <v>2087</v>
      </c>
      <c r="E42" s="75">
        <v>2173</v>
      </c>
      <c r="G42" s="76">
        <v>2115</v>
      </c>
      <c r="I42" s="75">
        <v>2215</v>
      </c>
      <c r="K42" s="75">
        <v>2260</v>
      </c>
      <c r="M42" s="77"/>
    </row>
    <row r="43" spans="1:13" s="40" customFormat="1" x14ac:dyDescent="0.2">
      <c r="A43" s="90" t="s">
        <v>1302</v>
      </c>
      <c r="B43" s="39"/>
      <c r="C43" s="75">
        <v>475</v>
      </c>
      <c r="E43" s="75">
        <v>467</v>
      </c>
      <c r="G43" s="76">
        <v>485</v>
      </c>
      <c r="I43" s="75">
        <v>480</v>
      </c>
      <c r="K43" s="75">
        <v>485</v>
      </c>
      <c r="M43" s="77"/>
    </row>
    <row r="44" spans="1:13" s="40" customFormat="1" x14ac:dyDescent="0.2">
      <c r="A44" s="90"/>
      <c r="B44" s="39"/>
      <c r="C44" s="79"/>
      <c r="E44" s="79"/>
      <c r="G44" s="63"/>
      <c r="I44" s="79"/>
      <c r="K44" s="79"/>
    </row>
    <row r="45" spans="1:13" s="37" customFormat="1" ht="16.5" customHeight="1" x14ac:dyDescent="0.2">
      <c r="A45" s="35" t="s">
        <v>194</v>
      </c>
      <c r="B45" s="36"/>
      <c r="C45" s="86"/>
      <c r="E45" s="86"/>
      <c r="G45" s="87"/>
      <c r="I45" s="86"/>
      <c r="K45" s="86"/>
    </row>
    <row r="46" spans="1:13" s="37" customFormat="1" x14ac:dyDescent="0.2">
      <c r="A46" s="35" t="s">
        <v>195</v>
      </c>
      <c r="B46" s="36"/>
      <c r="C46" s="86"/>
      <c r="E46" s="86"/>
      <c r="G46" s="87"/>
      <c r="I46" s="86"/>
      <c r="K46" s="86"/>
    </row>
    <row r="47" spans="1:13" s="40" customFormat="1" x14ac:dyDescent="0.2">
      <c r="A47" s="38" t="s">
        <v>196</v>
      </c>
      <c r="B47" s="39"/>
      <c r="C47" s="79"/>
      <c r="E47" s="79"/>
      <c r="G47" s="63"/>
      <c r="I47" s="79"/>
      <c r="K47" s="79"/>
    </row>
    <row r="48" spans="1:13" s="40" customFormat="1" x14ac:dyDescent="0.2">
      <c r="A48" s="41" t="s">
        <v>197</v>
      </c>
      <c r="B48" s="39"/>
      <c r="C48" s="376">
        <v>175</v>
      </c>
      <c r="E48" s="376">
        <v>179</v>
      </c>
      <c r="G48" s="71">
        <v>174</v>
      </c>
      <c r="I48" s="376">
        <v>178</v>
      </c>
      <c r="K48" s="376">
        <v>178</v>
      </c>
      <c r="M48" s="71"/>
    </row>
    <row r="49" spans="1:17" s="40" customFormat="1" x14ac:dyDescent="0.2">
      <c r="A49" s="41" t="s">
        <v>261</v>
      </c>
      <c r="B49" s="39"/>
      <c r="C49" s="376">
        <v>89</v>
      </c>
      <c r="E49" s="376">
        <v>87</v>
      </c>
      <c r="G49" s="71">
        <v>88</v>
      </c>
      <c r="I49" s="376">
        <v>91</v>
      </c>
      <c r="K49" s="376">
        <v>91</v>
      </c>
      <c r="M49" s="71"/>
    </row>
    <row r="50" spans="1:17" s="40" customFormat="1" x14ac:dyDescent="0.2">
      <c r="A50" s="41" t="s">
        <v>198</v>
      </c>
      <c r="B50" s="39"/>
      <c r="C50" s="376">
        <f>SUM(C49+C48)</f>
        <v>264</v>
      </c>
      <c r="D50" s="855"/>
      <c r="E50" s="376">
        <f>SUM(E49+E48)</f>
        <v>266</v>
      </c>
      <c r="F50" s="855"/>
      <c r="G50" s="855">
        <f>SUM(G49+G48)</f>
        <v>262</v>
      </c>
      <c r="I50" s="376">
        <f>SUM(I49+I48)</f>
        <v>269</v>
      </c>
      <c r="K50" s="376">
        <f>K49+K48</f>
        <v>269</v>
      </c>
      <c r="M50" s="71"/>
    </row>
    <row r="51" spans="1:17" s="40" customFormat="1" x14ac:dyDescent="0.2">
      <c r="A51" s="38" t="s">
        <v>199</v>
      </c>
      <c r="B51" s="39"/>
      <c r="C51" s="79"/>
      <c r="E51" s="79"/>
      <c r="G51" s="63"/>
      <c r="I51" s="79"/>
      <c r="K51" s="79"/>
    </row>
    <row r="52" spans="1:17" s="40" customFormat="1" x14ac:dyDescent="0.2">
      <c r="A52" s="41" t="s">
        <v>1274</v>
      </c>
      <c r="B52" s="39"/>
      <c r="C52" s="75">
        <v>222</v>
      </c>
      <c r="E52" s="75">
        <v>227</v>
      </c>
      <c r="G52" s="76">
        <v>221</v>
      </c>
      <c r="I52" s="75">
        <v>225</v>
      </c>
      <c r="K52" s="75">
        <v>226</v>
      </c>
      <c r="M52" s="76"/>
    </row>
    <row r="53" spans="1:17" s="40" customFormat="1" ht="12.75" customHeight="1" x14ac:dyDescent="0.2">
      <c r="A53" s="41" t="s">
        <v>263</v>
      </c>
      <c r="B53" s="39"/>
      <c r="C53" s="75">
        <v>42</v>
      </c>
      <c r="E53" s="75">
        <v>39</v>
      </c>
      <c r="G53" s="76">
        <v>41</v>
      </c>
      <c r="I53" s="75">
        <v>44</v>
      </c>
      <c r="K53" s="75">
        <v>43</v>
      </c>
      <c r="M53" s="76"/>
    </row>
    <row r="54" spans="1:17" s="40" customFormat="1" x14ac:dyDescent="0.2">
      <c r="A54" s="41" t="s">
        <v>198</v>
      </c>
      <c r="B54" s="39"/>
      <c r="C54" s="75">
        <f>SUM(C52:C53)</f>
        <v>264</v>
      </c>
      <c r="D54" s="77"/>
      <c r="E54" s="75">
        <f>SUM(E53+E52)</f>
        <v>266</v>
      </c>
      <c r="F54" s="77"/>
      <c r="G54" s="76">
        <f>SUM(G52:G53)</f>
        <v>262</v>
      </c>
      <c r="H54" s="77"/>
      <c r="I54" s="75">
        <f>SUM(I52:I53)</f>
        <v>269</v>
      </c>
      <c r="J54" s="77"/>
      <c r="K54" s="75">
        <f>K53+K52</f>
        <v>269</v>
      </c>
      <c r="M54" s="76"/>
    </row>
    <row r="55" spans="1:17" s="37" customFormat="1" x14ac:dyDescent="0.2">
      <c r="A55" s="35"/>
      <c r="B55" s="36"/>
      <c r="G55" s="87"/>
      <c r="I55" s="87"/>
      <c r="M55" s="964"/>
    </row>
    <row r="56" spans="1:17" s="48" customFormat="1" x14ac:dyDescent="0.2">
      <c r="A56" s="46"/>
      <c r="B56" s="47"/>
    </row>
    <row r="57" spans="1:17" s="48" customFormat="1" x14ac:dyDescent="0.2">
      <c r="A57" s="49" t="s">
        <v>200</v>
      </c>
      <c r="B57" s="50"/>
      <c r="C57" s="51"/>
      <c r="D57" s="52"/>
      <c r="E57" s="53"/>
      <c r="F57" s="52"/>
      <c r="G57" s="53"/>
      <c r="H57" s="52"/>
      <c r="I57" s="53"/>
      <c r="J57" s="52"/>
      <c r="K57" s="53"/>
      <c r="L57" s="52"/>
      <c r="M57" s="51"/>
      <c r="N57" s="52"/>
    </row>
    <row r="58" spans="1:17" ht="27.75" customHeight="1" x14ac:dyDescent="0.2">
      <c r="A58" s="1738" t="s">
        <v>218</v>
      </c>
      <c r="B58" s="1738"/>
      <c r="C58" s="1738"/>
      <c r="D58" s="1738"/>
      <c r="E58" s="1738"/>
      <c r="F58" s="1738"/>
      <c r="G58" s="1738"/>
      <c r="H58" s="1738"/>
      <c r="I58" s="1738"/>
      <c r="J58" s="1738"/>
      <c r="K58" s="1738"/>
      <c r="L58" s="1738"/>
      <c r="M58" s="1738"/>
      <c r="N58" s="1738"/>
      <c r="O58" s="54"/>
      <c r="P58" s="54"/>
      <c r="Q58" s="951"/>
    </row>
    <row r="59" spans="1:17" ht="27.75" customHeight="1" x14ac:dyDescent="0.2">
      <c r="A59" s="1755"/>
      <c r="B59" s="1735"/>
      <c r="C59" s="1735"/>
      <c r="D59" s="1735"/>
      <c r="E59" s="1735"/>
      <c r="F59" s="1735"/>
      <c r="G59" s="1735"/>
      <c r="H59" s="1735"/>
      <c r="I59" s="1735"/>
      <c r="J59" s="1735"/>
      <c r="K59" s="1735"/>
      <c r="L59" s="1735"/>
      <c r="M59" s="1735"/>
      <c r="N59" s="1735"/>
      <c r="O59" s="54"/>
      <c r="P59" s="54"/>
    </row>
    <row r="60" spans="1:17" ht="27.75" customHeight="1" x14ac:dyDescent="0.2">
      <c r="A60" s="1755"/>
      <c r="B60" s="1735"/>
      <c r="C60" s="1735"/>
      <c r="D60" s="1735"/>
      <c r="E60" s="1735"/>
      <c r="F60" s="1735"/>
      <c r="G60" s="1735"/>
      <c r="H60" s="1735"/>
      <c r="I60" s="1735"/>
      <c r="J60" s="1735"/>
      <c r="K60" s="1735"/>
      <c r="L60" s="1735"/>
      <c r="M60" s="1735"/>
      <c r="N60" s="1735"/>
      <c r="O60" s="54"/>
      <c r="P60" s="54"/>
    </row>
    <row r="61" spans="1:17" ht="27.75" customHeight="1" x14ac:dyDescent="0.2">
      <c r="A61" s="1755"/>
      <c r="B61" s="1735"/>
      <c r="C61" s="1735"/>
      <c r="D61" s="1735"/>
      <c r="E61" s="1735"/>
      <c r="F61" s="1735"/>
      <c r="G61" s="1735"/>
      <c r="H61" s="1735"/>
      <c r="I61" s="1735"/>
      <c r="J61" s="1735"/>
      <c r="K61" s="1735"/>
      <c r="L61" s="1735"/>
      <c r="M61" s="1735"/>
      <c r="N61" s="1735"/>
      <c r="O61" s="54"/>
      <c r="P61" s="54"/>
    </row>
    <row r="62" spans="1:17" ht="27.75" customHeight="1" x14ac:dyDescent="0.2">
      <c r="A62" s="1755"/>
      <c r="B62" s="1735"/>
      <c r="C62" s="1735"/>
      <c r="D62" s="1735"/>
      <c r="E62" s="1735"/>
      <c r="F62" s="1735"/>
      <c r="G62" s="1735"/>
      <c r="H62" s="1735"/>
      <c r="I62" s="1735"/>
      <c r="J62" s="1735"/>
      <c r="K62" s="1735"/>
      <c r="L62" s="1735"/>
      <c r="M62" s="1735"/>
      <c r="N62" s="1735"/>
      <c r="O62" s="54"/>
      <c r="P62" s="54"/>
    </row>
    <row r="63" spans="1:17" ht="27.75" customHeight="1" x14ac:dyDescent="0.2">
      <c r="A63" s="1735"/>
      <c r="B63" s="1735"/>
      <c r="C63" s="1735"/>
      <c r="D63" s="1735"/>
      <c r="E63" s="1735"/>
      <c r="F63" s="1735"/>
      <c r="G63" s="1735"/>
      <c r="H63" s="1735"/>
      <c r="I63" s="1735"/>
      <c r="J63" s="1735"/>
      <c r="K63" s="1735"/>
      <c r="L63" s="1735"/>
      <c r="M63" s="1735"/>
      <c r="N63" s="1735"/>
      <c r="O63" s="54"/>
      <c r="P63" s="54"/>
    </row>
    <row r="64" spans="1:17" ht="27.75" customHeight="1" x14ac:dyDescent="0.2">
      <c r="A64" s="1735"/>
      <c r="B64" s="1735"/>
      <c r="C64" s="1735"/>
      <c r="D64" s="1735"/>
      <c r="E64" s="1735"/>
      <c r="F64" s="1735"/>
      <c r="G64" s="1735"/>
      <c r="H64" s="1735"/>
      <c r="I64" s="1735"/>
      <c r="J64" s="1735"/>
      <c r="K64" s="1735"/>
      <c r="L64" s="1735"/>
      <c r="M64" s="1735"/>
      <c r="N64" s="1735"/>
      <c r="O64" s="54"/>
      <c r="P64" s="54"/>
    </row>
    <row r="65" spans="1:17" ht="27.75" customHeight="1" x14ac:dyDescent="0.2">
      <c r="A65" s="1735"/>
      <c r="B65" s="1735"/>
      <c r="C65" s="1735"/>
      <c r="D65" s="1735"/>
      <c r="E65" s="1735"/>
      <c r="F65" s="1735"/>
      <c r="G65" s="1735"/>
      <c r="H65" s="1735"/>
      <c r="I65" s="1735"/>
      <c r="J65" s="1735"/>
      <c r="K65" s="1735"/>
      <c r="L65" s="1735"/>
      <c r="M65" s="1735"/>
      <c r="N65" s="1735"/>
      <c r="O65" s="54"/>
      <c r="P65" s="54"/>
    </row>
    <row r="66" spans="1:17" ht="27.75" customHeight="1" x14ac:dyDescent="0.2">
      <c r="A66" s="1735"/>
      <c r="B66" s="1735"/>
      <c r="C66" s="1735"/>
      <c r="D66" s="1735"/>
      <c r="E66" s="1735"/>
      <c r="F66" s="1735"/>
      <c r="G66" s="1735"/>
      <c r="H66" s="1735"/>
      <c r="I66" s="1735"/>
      <c r="J66" s="1735"/>
      <c r="K66" s="1735"/>
      <c r="L66" s="1735"/>
      <c r="M66" s="1735"/>
      <c r="N66" s="1735"/>
      <c r="O66" s="54"/>
      <c r="P66" s="54"/>
    </row>
    <row r="67" spans="1:17" ht="27.75" customHeight="1" x14ac:dyDescent="0.2">
      <c r="A67" s="1735"/>
      <c r="B67" s="1735"/>
      <c r="C67" s="1735"/>
      <c r="D67" s="1735"/>
      <c r="E67" s="1735"/>
      <c r="F67" s="1735"/>
      <c r="G67" s="1735"/>
      <c r="H67" s="1735"/>
      <c r="I67" s="1735"/>
      <c r="J67" s="1735"/>
      <c r="K67" s="1735"/>
      <c r="L67" s="1735"/>
      <c r="M67" s="1735"/>
      <c r="N67" s="1735"/>
      <c r="O67" s="54"/>
      <c r="P67" s="54"/>
    </row>
    <row r="68" spans="1:17" x14ac:dyDescent="0.2">
      <c r="A68" s="55"/>
      <c r="B68" s="54"/>
      <c r="C68" s="56"/>
      <c r="D68" s="54"/>
      <c r="E68" s="56"/>
      <c r="F68" s="54"/>
      <c r="G68" s="56"/>
      <c r="H68" s="54"/>
      <c r="I68" s="56"/>
      <c r="J68" s="54"/>
      <c r="K68" s="56"/>
      <c r="L68" s="54"/>
      <c r="M68" s="56"/>
      <c r="N68" s="54"/>
      <c r="O68" s="54"/>
      <c r="P68" s="54"/>
    </row>
    <row r="69" spans="1:17" x14ac:dyDescent="0.2">
      <c r="A69" s="55"/>
      <c r="B69" s="54"/>
      <c r="C69" s="54"/>
      <c r="D69" s="54"/>
      <c r="E69" s="54"/>
      <c r="F69" s="54"/>
      <c r="G69" s="54"/>
      <c r="H69" s="54"/>
      <c r="I69" s="54"/>
      <c r="J69" s="54"/>
      <c r="K69" s="54"/>
      <c r="L69" s="54"/>
      <c r="M69" s="54"/>
      <c r="N69" s="54"/>
      <c r="O69" s="54"/>
      <c r="P69" s="54"/>
    </row>
    <row r="70" spans="1:17" x14ac:dyDescent="0.2">
      <c r="A70" s="55"/>
      <c r="B70" s="54"/>
      <c r="C70" s="56"/>
      <c r="D70" s="54"/>
      <c r="E70" s="56"/>
      <c r="F70" s="54"/>
      <c r="G70" s="56"/>
      <c r="H70" s="54"/>
      <c r="I70" s="56"/>
      <c r="J70" s="54"/>
      <c r="K70" s="56"/>
      <c r="L70" s="54"/>
      <c r="M70" s="56"/>
      <c r="N70" s="54"/>
      <c r="O70" s="54"/>
      <c r="P70" s="54"/>
    </row>
    <row r="71" spans="1:17" x14ac:dyDescent="0.2">
      <c r="A71" s="55"/>
      <c r="B71" s="54"/>
      <c r="C71" s="54"/>
      <c r="D71" s="54"/>
      <c r="E71" s="54"/>
      <c r="F71" s="54"/>
      <c r="G71" s="54"/>
      <c r="H71" s="54"/>
      <c r="I71" s="54"/>
      <c r="J71" s="54"/>
      <c r="K71" s="54"/>
      <c r="L71" s="54"/>
      <c r="M71" s="54"/>
      <c r="N71" s="54"/>
      <c r="O71" s="54"/>
      <c r="P71" s="54"/>
    </row>
    <row r="72" spans="1:17" x14ac:dyDescent="0.2">
      <c r="A72" s="55"/>
      <c r="B72" s="54"/>
      <c r="C72" s="56"/>
      <c r="D72" s="54"/>
      <c r="E72" s="56"/>
      <c r="F72" s="54"/>
      <c r="G72" s="56"/>
      <c r="H72" s="54"/>
      <c r="I72" s="56"/>
      <c r="J72" s="54"/>
      <c r="K72" s="56"/>
      <c r="L72" s="54"/>
      <c r="M72" s="56"/>
      <c r="N72" s="54"/>
      <c r="O72" s="54"/>
      <c r="P72" s="54"/>
    </row>
    <row r="73" spans="1:17" x14ac:dyDescent="0.2">
      <c r="A73" s="55"/>
      <c r="B73" s="54"/>
      <c r="C73" s="54"/>
      <c r="D73" s="54"/>
      <c r="E73" s="54"/>
      <c r="F73" s="54"/>
      <c r="G73" s="54"/>
      <c r="H73" s="54"/>
      <c r="I73" s="54"/>
      <c r="J73" s="54"/>
      <c r="K73" s="54"/>
      <c r="L73" s="54"/>
      <c r="M73" s="54"/>
      <c r="N73" s="54"/>
      <c r="O73" s="54"/>
      <c r="P73" s="54"/>
    </row>
    <row r="74" spans="1:17" x14ac:dyDescent="0.2">
      <c r="A74" s="55"/>
      <c r="B74" s="54"/>
      <c r="C74" s="54"/>
      <c r="D74" s="54"/>
      <c r="E74" s="54"/>
      <c r="F74" s="54"/>
      <c r="G74" s="54"/>
      <c r="H74" s="54"/>
      <c r="I74" s="54"/>
      <c r="J74" s="54"/>
      <c r="K74" s="54"/>
      <c r="L74" s="54"/>
      <c r="M74" s="54"/>
      <c r="N74" s="54"/>
      <c r="O74" s="54"/>
      <c r="P74" s="54"/>
    </row>
    <row r="75" spans="1:17" x14ac:dyDescent="0.2">
      <c r="A75" s="55"/>
      <c r="B75" s="54"/>
      <c r="C75" s="54"/>
      <c r="D75" s="54"/>
      <c r="E75" s="54"/>
      <c r="F75" s="54"/>
      <c r="G75" s="54"/>
      <c r="H75" s="54"/>
      <c r="I75" s="54"/>
      <c r="J75" s="54"/>
      <c r="K75" s="54"/>
      <c r="L75" s="54"/>
      <c r="M75" s="54"/>
      <c r="N75" s="54"/>
      <c r="O75" s="54"/>
      <c r="P75" s="54"/>
      <c r="Q75" s="57"/>
    </row>
    <row r="76" spans="1:17" x14ac:dyDescent="0.2">
      <c r="B76" s="25"/>
      <c r="C76" s="25"/>
      <c r="D76" s="25"/>
      <c r="E76" s="58"/>
      <c r="F76" s="58"/>
      <c r="G76" s="58"/>
      <c r="H76" s="58"/>
    </row>
    <row r="77" spans="1:17" x14ac:dyDescent="0.2">
      <c r="B77" s="25"/>
      <c r="C77" s="25"/>
      <c r="D77" s="25"/>
      <c r="E77" s="58"/>
      <c r="F77" s="58"/>
      <c r="G77" s="58"/>
      <c r="H77" s="58"/>
    </row>
    <row r="78" spans="1:17" x14ac:dyDescent="0.2">
      <c r="B78" s="25"/>
      <c r="C78" s="25"/>
      <c r="D78" s="25"/>
      <c r="E78" s="58"/>
      <c r="F78" s="58"/>
      <c r="G78" s="58"/>
      <c r="H78" s="58"/>
    </row>
    <row r="79" spans="1:17" x14ac:dyDescent="0.2">
      <c r="B79" s="25"/>
      <c r="C79" s="25"/>
      <c r="D79" s="25"/>
      <c r="E79" s="58"/>
      <c r="F79" s="58"/>
      <c r="G79" s="58"/>
      <c r="H79" s="58"/>
    </row>
    <row r="80" spans="1:17"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25"/>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sheetData>
  <mergeCells count="11">
    <mergeCell ref="A64:N64"/>
    <mergeCell ref="A65:N65"/>
    <mergeCell ref="A66:N66"/>
    <mergeCell ref="A67:N67"/>
    <mergeCell ref="K2:K3"/>
    <mergeCell ref="A58:N58"/>
    <mergeCell ref="A59:N59"/>
    <mergeCell ref="A60:N60"/>
    <mergeCell ref="A61:N61"/>
    <mergeCell ref="A62:N62"/>
    <mergeCell ref="A63:N6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64" pageOrder="overThenDown"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2">
    <pageSetUpPr fitToPage="1"/>
  </sheetPr>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178</v>
      </c>
      <c r="C3" s="10" t="s">
        <v>179</v>
      </c>
      <c r="D3" s="6"/>
      <c r="E3" s="11"/>
      <c r="F3" s="9"/>
      <c r="G3" s="11"/>
      <c r="H3" s="6"/>
      <c r="I3" s="11"/>
      <c r="J3" s="6"/>
      <c r="K3" s="1734"/>
      <c r="L3" s="6"/>
      <c r="M3" s="11"/>
      <c r="N3" s="6"/>
    </row>
    <row r="4" spans="1:16" s="4" customFormat="1" ht="15.75" x14ac:dyDescent="0.25">
      <c r="A4" s="1" t="s">
        <v>180</v>
      </c>
      <c r="B4" s="10" t="s">
        <v>181</v>
      </c>
      <c r="C4" s="10" t="s">
        <v>182</v>
      </c>
      <c r="D4" s="6"/>
      <c r="E4" s="11"/>
      <c r="F4" s="9"/>
      <c r="G4" s="11"/>
      <c r="H4" s="6"/>
      <c r="I4" s="11"/>
      <c r="J4" s="6"/>
      <c r="K4" s="11"/>
      <c r="L4" s="6"/>
      <c r="M4" s="11"/>
      <c r="N4" s="6"/>
    </row>
    <row r="5" spans="1:16" s="4" customFormat="1" ht="15.75" x14ac:dyDescent="0.2">
      <c r="A5" s="1" t="s">
        <v>183</v>
      </c>
      <c r="B5" s="12" t="s">
        <v>205</v>
      </c>
      <c r="C5" s="12" t="s">
        <v>206</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row>
    <row r="11" spans="1:16" s="37" customFormat="1" x14ac:dyDescent="0.2">
      <c r="A11" s="35" t="s">
        <v>195</v>
      </c>
      <c r="B11" s="36"/>
    </row>
    <row r="12" spans="1:16" s="40" customFormat="1" x14ac:dyDescent="0.2">
      <c r="A12" s="38" t="s">
        <v>196</v>
      </c>
      <c r="B12" s="39"/>
      <c r="M12" s="64"/>
    </row>
    <row r="13" spans="1:16" s="40" customFormat="1" x14ac:dyDescent="0.2">
      <c r="A13" s="41" t="s">
        <v>197</v>
      </c>
      <c r="B13" s="39"/>
      <c r="C13" s="42">
        <v>348</v>
      </c>
      <c r="E13" s="42">
        <v>339</v>
      </c>
      <c r="G13" s="42"/>
      <c r="I13" s="42">
        <v>346</v>
      </c>
      <c r="K13" s="42"/>
      <c r="M13" s="43"/>
    </row>
    <row r="14" spans="1:16" s="40" customFormat="1" x14ac:dyDescent="0.2">
      <c r="A14" s="41" t="s">
        <v>198</v>
      </c>
      <c r="B14" s="39"/>
      <c r="C14" s="42">
        <v>348</v>
      </c>
      <c r="E14" s="42">
        <v>339</v>
      </c>
      <c r="G14" s="42"/>
      <c r="I14" s="42">
        <v>346</v>
      </c>
      <c r="K14" s="42"/>
      <c r="M14" s="62"/>
    </row>
    <row r="15" spans="1:16" s="40" customFormat="1" x14ac:dyDescent="0.2">
      <c r="A15" s="38" t="s">
        <v>199</v>
      </c>
      <c r="B15" s="39"/>
      <c r="E15" s="42"/>
      <c r="M15" s="65"/>
    </row>
    <row r="16" spans="1:16" s="40" customFormat="1" x14ac:dyDescent="0.2">
      <c r="A16" s="41" t="s">
        <v>207</v>
      </c>
      <c r="B16" s="39"/>
      <c r="C16" s="42">
        <v>348</v>
      </c>
      <c r="E16" s="42">
        <v>339</v>
      </c>
      <c r="G16" s="42"/>
      <c r="I16" s="42">
        <v>346</v>
      </c>
      <c r="K16" s="42"/>
      <c r="M16" s="43"/>
    </row>
    <row r="17" spans="1:17" s="40" customFormat="1" x14ac:dyDescent="0.2">
      <c r="A17" s="41" t="s">
        <v>198</v>
      </c>
      <c r="B17" s="39"/>
      <c r="C17" s="42">
        <v>348</v>
      </c>
      <c r="E17" s="42">
        <v>339</v>
      </c>
      <c r="G17" s="42"/>
      <c r="I17" s="42">
        <v>346</v>
      </c>
      <c r="K17" s="42"/>
      <c r="M17" s="62"/>
    </row>
    <row r="18" spans="1:17" s="48" customFormat="1" x14ac:dyDescent="0.2">
      <c r="A18" s="46"/>
      <c r="B18" s="47"/>
    </row>
    <row r="19" spans="1:17" s="48" customFormat="1" x14ac:dyDescent="0.2">
      <c r="A19" s="49" t="s">
        <v>200</v>
      </c>
      <c r="B19" s="50"/>
      <c r="C19" s="51"/>
      <c r="D19" s="52"/>
      <c r="E19" s="53"/>
      <c r="F19" s="52"/>
      <c r="G19" s="53"/>
      <c r="H19" s="52"/>
      <c r="I19" s="53"/>
      <c r="J19" s="52"/>
      <c r="K19" s="53"/>
      <c r="L19" s="52"/>
      <c r="M19" s="51"/>
      <c r="N19" s="52"/>
    </row>
    <row r="20" spans="1:17" ht="27.75" customHeight="1" x14ac:dyDescent="0.2">
      <c r="A20" s="1738" t="s">
        <v>208</v>
      </c>
      <c r="B20" s="1736"/>
      <c r="C20" s="1737"/>
      <c r="D20" s="1736"/>
      <c r="E20" s="1737"/>
      <c r="F20" s="1736"/>
      <c r="G20" s="1737"/>
      <c r="H20" s="1736"/>
      <c r="I20" s="1737"/>
      <c r="J20" s="1736"/>
      <c r="K20" s="1737"/>
      <c r="L20" s="1736"/>
      <c r="M20" s="1737"/>
      <c r="N20" s="1736"/>
      <c r="O20" s="54"/>
      <c r="P20" s="54"/>
      <c r="Q20" s="951"/>
    </row>
    <row r="21" spans="1:17" ht="27.75" customHeight="1" x14ac:dyDescent="0.2">
      <c r="A21" s="1735"/>
      <c r="B21" s="1736"/>
      <c r="C21" s="1737"/>
      <c r="D21" s="1736"/>
      <c r="E21" s="1737"/>
      <c r="F21" s="1736"/>
      <c r="G21" s="1737"/>
      <c r="H21" s="1736"/>
      <c r="I21" s="1737"/>
      <c r="J21" s="1736"/>
      <c r="K21" s="1737"/>
      <c r="L21" s="1736"/>
      <c r="M21" s="1737"/>
      <c r="N21" s="1736"/>
      <c r="O21" s="54"/>
      <c r="P21" s="54"/>
    </row>
    <row r="22" spans="1:17" ht="27.75" customHeight="1" x14ac:dyDescent="0.2">
      <c r="A22" s="1735"/>
      <c r="B22" s="1736"/>
      <c r="C22" s="1737"/>
      <c r="D22" s="1736"/>
      <c r="E22" s="1737"/>
      <c r="F22" s="1736"/>
      <c r="G22" s="1737"/>
      <c r="H22" s="1736"/>
      <c r="I22" s="1737"/>
      <c r="J22" s="1736"/>
      <c r="K22" s="1737"/>
      <c r="L22" s="1736"/>
      <c r="M22" s="1737"/>
      <c r="N22" s="1736"/>
      <c r="O22" s="54"/>
      <c r="P22" s="54"/>
    </row>
    <row r="23" spans="1:17" ht="27.75" customHeight="1" x14ac:dyDescent="0.2">
      <c r="A23" s="1735"/>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ht="27.75" customHeight="1" x14ac:dyDescent="0.2">
      <c r="A25" s="1735"/>
      <c r="B25" s="1736"/>
      <c r="C25" s="1737"/>
      <c r="D25" s="1736"/>
      <c r="E25" s="1737"/>
      <c r="F25" s="1736"/>
      <c r="G25" s="1737"/>
      <c r="H25" s="1736"/>
      <c r="I25" s="1737"/>
      <c r="J25" s="1736"/>
      <c r="K25" s="1737"/>
      <c r="L25" s="1736"/>
      <c r="M25" s="1737"/>
      <c r="N25" s="1736"/>
      <c r="O25" s="54"/>
      <c r="P25" s="54"/>
    </row>
    <row r="26" spans="1:17" ht="27.75" customHeight="1" x14ac:dyDescent="0.2">
      <c r="A26" s="1735"/>
      <c r="B26" s="1736"/>
      <c r="C26" s="1737"/>
      <c r="D26" s="1736"/>
      <c r="E26" s="1737"/>
      <c r="F26" s="1736"/>
      <c r="G26" s="1737"/>
      <c r="H26" s="1736"/>
      <c r="I26" s="1737"/>
      <c r="J26" s="1736"/>
      <c r="K26" s="1737"/>
      <c r="L26" s="1736"/>
      <c r="M26" s="1737"/>
      <c r="N26" s="1736"/>
      <c r="O26" s="54"/>
      <c r="P26" s="54"/>
    </row>
    <row r="27" spans="1:17" ht="27.75" customHeight="1" x14ac:dyDescent="0.2">
      <c r="A27" s="1735"/>
      <c r="B27" s="1736"/>
      <c r="C27" s="1737"/>
      <c r="D27" s="1736"/>
      <c r="E27" s="1737"/>
      <c r="F27" s="1736"/>
      <c r="G27" s="1737"/>
      <c r="H27" s="1736"/>
      <c r="I27" s="1737"/>
      <c r="J27" s="1736"/>
      <c r="K27" s="1737"/>
      <c r="L27" s="1736"/>
      <c r="M27" s="1737"/>
      <c r="N27" s="1736"/>
      <c r="O27" s="54"/>
      <c r="P27" s="54"/>
    </row>
    <row r="28" spans="1:17" ht="27.75" customHeight="1" x14ac:dyDescent="0.2">
      <c r="A28" s="1735"/>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x14ac:dyDescent="0.2">
      <c r="A30" s="55"/>
      <c r="B30" s="54"/>
      <c r="C30" s="56"/>
      <c r="D30" s="54"/>
      <c r="E30" s="56"/>
      <c r="F30" s="54"/>
      <c r="G30" s="56"/>
      <c r="H30" s="54"/>
      <c r="I30" s="56"/>
      <c r="J30" s="54"/>
      <c r="K30" s="56"/>
      <c r="L30" s="54"/>
      <c r="M30" s="56"/>
      <c r="N30" s="54"/>
      <c r="O30" s="54"/>
      <c r="P30" s="54"/>
    </row>
    <row r="31" spans="1:17" x14ac:dyDescent="0.2">
      <c r="A31" s="55"/>
      <c r="B31" s="54"/>
      <c r="C31" s="54"/>
      <c r="D31" s="54"/>
      <c r="E31" s="54"/>
      <c r="F31" s="54"/>
      <c r="G31" s="54"/>
      <c r="H31" s="54"/>
      <c r="I31" s="54"/>
      <c r="J31" s="54"/>
      <c r="K31" s="54"/>
      <c r="L31" s="54"/>
      <c r="M31" s="54"/>
      <c r="N31" s="54"/>
      <c r="O31" s="54"/>
      <c r="P31" s="54"/>
    </row>
    <row r="32" spans="1:17" x14ac:dyDescent="0.2">
      <c r="A32" s="55"/>
      <c r="B32" s="54"/>
      <c r="C32" s="56"/>
      <c r="D32" s="54"/>
      <c r="E32" s="56"/>
      <c r="F32" s="54"/>
      <c r="G32" s="56"/>
      <c r="H32" s="54"/>
      <c r="I32" s="56"/>
      <c r="J32" s="54"/>
      <c r="K32" s="56"/>
      <c r="L32" s="54"/>
      <c r="M32" s="56"/>
      <c r="N32" s="54"/>
      <c r="O32" s="54"/>
      <c r="P32" s="54"/>
    </row>
    <row r="33" spans="1:17" x14ac:dyDescent="0.2">
      <c r="A33" s="55"/>
      <c r="B33" s="54"/>
      <c r="C33" s="54"/>
      <c r="D33" s="54"/>
      <c r="E33" s="54"/>
      <c r="F33" s="54"/>
      <c r="G33" s="54"/>
      <c r="H33" s="54"/>
      <c r="I33" s="54"/>
      <c r="J33" s="54"/>
      <c r="K33" s="54"/>
      <c r="L33" s="54"/>
      <c r="M33" s="54"/>
      <c r="N33" s="54"/>
      <c r="O33" s="54"/>
      <c r="P33" s="54"/>
    </row>
    <row r="34" spans="1:17" x14ac:dyDescent="0.2">
      <c r="A34" s="55"/>
      <c r="B34" s="54"/>
      <c r="C34" s="56"/>
      <c r="D34" s="54"/>
      <c r="E34" s="56"/>
      <c r="F34" s="54"/>
      <c r="G34" s="56"/>
      <c r="H34" s="54"/>
      <c r="I34" s="56"/>
      <c r="J34" s="54"/>
      <c r="K34" s="56"/>
      <c r="L34" s="54"/>
      <c r="M34" s="56"/>
      <c r="N34" s="54"/>
      <c r="O34" s="54"/>
      <c r="P34" s="54"/>
    </row>
    <row r="35" spans="1:17" x14ac:dyDescent="0.2">
      <c r="A35" s="55"/>
      <c r="B35" s="54"/>
      <c r="C35" s="54"/>
      <c r="D35" s="54"/>
      <c r="E35" s="54"/>
      <c r="F35" s="54"/>
      <c r="G35" s="54"/>
      <c r="H35" s="54"/>
      <c r="I35" s="54"/>
      <c r="J35" s="54"/>
      <c r="K35" s="54"/>
      <c r="L35" s="54"/>
      <c r="M35" s="54"/>
      <c r="N35" s="54"/>
      <c r="O35" s="54"/>
      <c r="P35" s="54"/>
    </row>
    <row r="36" spans="1:17" x14ac:dyDescent="0.2">
      <c r="A36" s="55"/>
      <c r="B36" s="54"/>
      <c r="C36" s="54"/>
      <c r="D36" s="54"/>
      <c r="E36" s="54"/>
      <c r="F36" s="54"/>
      <c r="G36" s="54"/>
      <c r="H36" s="54"/>
      <c r="I36" s="54"/>
      <c r="J36" s="54"/>
      <c r="K36" s="54"/>
      <c r="L36" s="54"/>
      <c r="M36" s="54"/>
      <c r="N36" s="54"/>
      <c r="O36" s="54"/>
      <c r="P36" s="54"/>
    </row>
    <row r="37" spans="1:17" x14ac:dyDescent="0.2">
      <c r="A37" s="55"/>
      <c r="B37" s="54"/>
      <c r="C37" s="54"/>
      <c r="D37" s="54"/>
      <c r="E37" s="54"/>
      <c r="F37" s="54"/>
      <c r="G37" s="54"/>
      <c r="H37" s="54"/>
      <c r="I37" s="54"/>
      <c r="J37" s="54"/>
      <c r="K37" s="54"/>
      <c r="L37" s="54"/>
      <c r="M37" s="54"/>
      <c r="N37" s="54"/>
      <c r="O37" s="54"/>
      <c r="P37" s="54"/>
      <c r="Q37" s="57"/>
    </row>
    <row r="38" spans="1:17" x14ac:dyDescent="0.2">
      <c r="B38" s="25"/>
      <c r="C38" s="25"/>
      <c r="D38" s="25"/>
      <c r="E38" s="58"/>
      <c r="F38" s="58"/>
      <c r="G38" s="58"/>
      <c r="H38" s="58"/>
    </row>
    <row r="39" spans="1:17" x14ac:dyDescent="0.2">
      <c r="B39" s="25"/>
      <c r="C39" s="25"/>
      <c r="D39" s="25"/>
      <c r="E39" s="58"/>
      <c r="F39" s="58"/>
      <c r="G39" s="58"/>
      <c r="H39" s="58"/>
    </row>
    <row r="40" spans="1:17" x14ac:dyDescent="0.2">
      <c r="B40" s="25"/>
      <c r="C40" s="25"/>
      <c r="D40" s="25"/>
      <c r="E40" s="58"/>
      <c r="F40" s="58"/>
      <c r="G40" s="58"/>
      <c r="H40" s="58"/>
    </row>
    <row r="41" spans="1:17" x14ac:dyDescent="0.2">
      <c r="B41" s="25"/>
      <c r="C41" s="25"/>
      <c r="D41" s="25"/>
      <c r="E41" s="58"/>
      <c r="F41" s="58"/>
      <c r="G41" s="58"/>
      <c r="H41" s="58"/>
    </row>
    <row r="42" spans="1:17" x14ac:dyDescent="0.2">
      <c r="B42" s="25"/>
      <c r="C42" s="25"/>
      <c r="D42" s="25"/>
      <c r="E42" s="58"/>
      <c r="F42" s="58"/>
      <c r="G42" s="58"/>
      <c r="H42" s="58"/>
    </row>
    <row r="43" spans="1:17" x14ac:dyDescent="0.2">
      <c r="B43" s="25"/>
      <c r="C43" s="25"/>
      <c r="D43" s="25"/>
      <c r="E43" s="58"/>
      <c r="F43" s="58"/>
      <c r="G43" s="58"/>
      <c r="H43" s="58"/>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sheetData>
  <mergeCells count="11">
    <mergeCell ref="A26:N26"/>
    <mergeCell ref="A27:N27"/>
    <mergeCell ref="A28:N28"/>
    <mergeCell ref="A29:N29"/>
    <mergeCell ref="K2:K3"/>
    <mergeCell ref="A20:N20"/>
    <mergeCell ref="A21:N21"/>
    <mergeCell ref="A22:N22"/>
    <mergeCell ref="A23:N23"/>
    <mergeCell ref="A24:N24"/>
    <mergeCell ref="A25:N25"/>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53">
    <pageSetUpPr fitToPage="1"/>
  </sheetPr>
  <dimension ref="A1:R178"/>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8.140625" style="61" customWidth="1"/>
    <col min="4" max="4" width="3" style="61" customWidth="1"/>
    <col min="5" max="5" width="16" style="59" bestFit="1" customWidth="1"/>
    <col min="6" max="6" width="2.85546875" style="60" customWidth="1"/>
    <col min="7" max="7" width="13.7109375" style="59" hidden="1" customWidth="1"/>
    <col min="8" max="8" width="3.140625" style="60" hidden="1" customWidth="1"/>
    <col min="9" max="9" width="16.7109375" style="59" customWidth="1"/>
    <col min="10" max="10" width="3.140625" style="60" bestFit="1" customWidth="1"/>
    <col min="11" max="11" width="14.42578125" style="59" bestFit="1" customWidth="1"/>
    <col min="12" max="12" width="3.140625" style="60" bestFit="1" customWidth="1"/>
    <col min="13" max="13" width="12.7109375" style="59" hidden="1" customWidth="1"/>
    <col min="14" max="14" width="3.140625" style="60" hidden="1" customWidth="1"/>
    <col min="15" max="15" width="14.42578125" style="59" bestFit="1" customWidth="1"/>
    <col min="16" max="16" width="2.85546875" style="60" customWidth="1"/>
    <col min="17" max="17" width="3.42578125" style="29" customWidth="1"/>
    <col min="18" max="18" width="23.5703125" style="29" customWidth="1"/>
    <col min="19"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1060</v>
      </c>
      <c r="C3" s="10" t="s">
        <v>1061</v>
      </c>
      <c r="D3" s="6"/>
      <c r="E3" s="11"/>
      <c r="F3" s="9"/>
      <c r="G3" s="11"/>
      <c r="H3" s="6"/>
      <c r="I3" s="11"/>
      <c r="J3" s="6"/>
      <c r="K3" s="1734"/>
      <c r="L3" s="6"/>
      <c r="M3" s="11"/>
      <c r="N3" s="6"/>
    </row>
    <row r="4" spans="1:16" s="4" customFormat="1" ht="15.75" x14ac:dyDescent="0.25">
      <c r="A4" s="1" t="s">
        <v>180</v>
      </c>
      <c r="B4" s="10" t="s">
        <v>1303</v>
      </c>
      <c r="C4" s="10" t="s">
        <v>32</v>
      </c>
      <c r="D4" s="6"/>
      <c r="E4" s="11"/>
      <c r="F4" s="9"/>
      <c r="G4" s="11"/>
      <c r="H4" s="6"/>
      <c r="I4" s="11"/>
      <c r="J4" s="6"/>
      <c r="K4" s="11"/>
      <c r="L4" s="6"/>
      <c r="M4" s="11"/>
      <c r="N4" s="6"/>
    </row>
    <row r="5" spans="1:16" s="4" customFormat="1" ht="15.75" x14ac:dyDescent="0.2">
      <c r="A5" s="1" t="s">
        <v>183</v>
      </c>
      <c r="B5" s="12" t="s">
        <v>1304</v>
      </c>
      <c r="C5" s="12" t="s">
        <v>33</v>
      </c>
      <c r="D5" s="13"/>
      <c r="E5" s="14"/>
      <c r="G5" s="14"/>
      <c r="I5" s="600"/>
      <c r="K5" s="600"/>
      <c r="M5" s="600"/>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1305</v>
      </c>
      <c r="B11" s="36"/>
    </row>
    <row r="12" spans="1:16" s="40" customFormat="1" x14ac:dyDescent="0.2">
      <c r="A12" s="38" t="s">
        <v>1306</v>
      </c>
      <c r="B12" s="39"/>
    </row>
    <row r="13" spans="1:16" s="40" customFormat="1" x14ac:dyDescent="0.2">
      <c r="A13" s="41" t="s">
        <v>1307</v>
      </c>
      <c r="B13" s="39"/>
    </row>
    <row r="14" spans="1:16" s="40" customFormat="1" x14ac:dyDescent="0.2">
      <c r="A14" s="90" t="s">
        <v>1308</v>
      </c>
      <c r="B14" s="39"/>
      <c r="C14" s="76">
        <v>11603</v>
      </c>
      <c r="D14" s="63"/>
      <c r="E14" s="76">
        <v>6984</v>
      </c>
      <c r="G14" s="76">
        <v>6995</v>
      </c>
      <c r="I14" s="76">
        <v>5640</v>
      </c>
      <c r="K14" s="76">
        <v>5260</v>
      </c>
      <c r="M14" s="77"/>
    </row>
    <row r="15" spans="1:16" s="40" customFormat="1" x14ac:dyDescent="0.2">
      <c r="A15" s="90" t="s">
        <v>1309</v>
      </c>
      <c r="B15" s="39"/>
      <c r="C15" s="253">
        <v>143.56</v>
      </c>
      <c r="D15" s="63"/>
      <c r="E15" s="253">
        <v>145.63</v>
      </c>
      <c r="G15" s="253">
        <v>144.26</v>
      </c>
      <c r="I15" s="253">
        <v>145.37</v>
      </c>
      <c r="K15" s="253">
        <v>145.53</v>
      </c>
      <c r="M15" s="254"/>
    </row>
    <row r="16" spans="1:16" s="40" customFormat="1" x14ac:dyDescent="0.2">
      <c r="A16" s="90" t="s">
        <v>1310</v>
      </c>
      <c r="B16" s="39"/>
      <c r="C16" s="97">
        <v>109178</v>
      </c>
      <c r="D16" s="63"/>
      <c r="E16" s="97">
        <v>51438</v>
      </c>
      <c r="G16" s="97">
        <v>71653</v>
      </c>
      <c r="I16" s="97">
        <v>58197</v>
      </c>
      <c r="K16" s="97">
        <v>58314</v>
      </c>
      <c r="M16" s="98"/>
    </row>
    <row r="17" spans="1:18" s="40" customFormat="1" x14ac:dyDescent="0.2">
      <c r="A17" s="90" t="s">
        <v>1311</v>
      </c>
      <c r="B17" s="39"/>
      <c r="C17" s="97">
        <f>((C14*C15)*12)+C16</f>
        <v>20097898.16</v>
      </c>
      <c r="D17" s="97"/>
      <c r="E17" s="97">
        <f>((E14*E15)*12)+E16</f>
        <v>12256397.039999999</v>
      </c>
      <c r="F17" s="98"/>
      <c r="G17" s="97">
        <f>((G14*G15)*12)+G16</f>
        <v>12180837.399999999</v>
      </c>
      <c r="I17" s="97">
        <f>((I14*I15)*12)+I16</f>
        <v>9896838.6000000015</v>
      </c>
      <c r="J17" s="97"/>
      <c r="K17" s="97">
        <f t="shared" ref="K17" si="0">((K14*K15)*12)+K16</f>
        <v>9244167.6000000015</v>
      </c>
      <c r="M17" s="98"/>
    </row>
    <row r="18" spans="1:18" s="40" customFormat="1" x14ac:dyDescent="0.2">
      <c r="A18" s="38"/>
      <c r="B18" s="39"/>
      <c r="C18" s="64"/>
      <c r="E18" s="64"/>
      <c r="G18" s="65"/>
      <c r="I18" s="65"/>
      <c r="K18" s="63"/>
      <c r="M18" s="64"/>
    </row>
    <row r="19" spans="1:18" s="40" customFormat="1" x14ac:dyDescent="0.2">
      <c r="A19" s="41" t="s">
        <v>1312</v>
      </c>
      <c r="B19" s="39"/>
      <c r="G19" s="63"/>
      <c r="I19" s="63"/>
      <c r="K19" s="63"/>
    </row>
    <row r="20" spans="1:18" s="40" customFormat="1" x14ac:dyDescent="0.2">
      <c r="A20" s="90" t="s">
        <v>1308</v>
      </c>
      <c r="B20" s="39"/>
      <c r="C20" s="76">
        <v>10153</v>
      </c>
      <c r="D20" s="63"/>
      <c r="E20" s="76">
        <v>9022</v>
      </c>
      <c r="G20" s="76">
        <v>8850</v>
      </c>
      <c r="I20" s="76">
        <v>7782</v>
      </c>
      <c r="K20" s="76">
        <v>7316</v>
      </c>
      <c r="M20" s="77"/>
    </row>
    <row r="21" spans="1:18" s="40" customFormat="1" x14ac:dyDescent="0.2">
      <c r="A21" s="90" t="s">
        <v>1309</v>
      </c>
      <c r="B21" s="39"/>
      <c r="C21" s="253">
        <v>213.26</v>
      </c>
      <c r="D21" s="63"/>
      <c r="E21" s="253">
        <v>213.99</v>
      </c>
      <c r="G21" s="253">
        <v>213.57</v>
      </c>
      <c r="I21" s="253">
        <v>214.48</v>
      </c>
      <c r="K21" s="253">
        <v>214.54</v>
      </c>
      <c r="M21" s="254"/>
    </row>
    <row r="22" spans="1:18" s="40" customFormat="1" x14ac:dyDescent="0.2">
      <c r="A22" s="90" t="s">
        <v>1310</v>
      </c>
      <c r="B22" s="39"/>
      <c r="C22" s="97">
        <v>153053</v>
      </c>
      <c r="D22" s="63"/>
      <c r="E22" s="97">
        <v>71316</v>
      </c>
      <c r="G22" s="97">
        <v>101491</v>
      </c>
      <c r="I22" s="97">
        <v>73918</v>
      </c>
      <c r="K22" s="97">
        <v>59069</v>
      </c>
      <c r="M22" s="98"/>
    </row>
    <row r="23" spans="1:18" s="40" customFormat="1" x14ac:dyDescent="0.2">
      <c r="A23" s="90" t="s">
        <v>1311</v>
      </c>
      <c r="B23" s="39"/>
      <c r="C23" s="97">
        <f>((C20*C21)*12)+C22</f>
        <v>26135798.359999999</v>
      </c>
      <c r="D23" s="97"/>
      <c r="E23" s="97">
        <f>((E20*E21)*12)+E22</f>
        <v>23238729.359999999</v>
      </c>
      <c r="F23" s="98"/>
      <c r="G23" s="97">
        <f>((G20*G21)*12)+G22</f>
        <v>22782625</v>
      </c>
      <c r="I23" s="97">
        <f>((I20*I21)*12)+I22</f>
        <v>20102918.32</v>
      </c>
      <c r="J23" s="97"/>
      <c r="K23" s="97">
        <f t="shared" ref="K23" si="1">((K20*K21)*12)+K22</f>
        <v>18893964.68</v>
      </c>
      <c r="M23" s="98"/>
    </row>
    <row r="24" spans="1:18" s="40" customFormat="1" x14ac:dyDescent="0.2">
      <c r="A24" s="38"/>
      <c r="B24" s="39"/>
      <c r="G24" s="63"/>
      <c r="I24" s="63"/>
      <c r="K24" s="63"/>
      <c r="M24" s="64"/>
    </row>
    <row r="25" spans="1:18" s="40" customFormat="1" x14ac:dyDescent="0.2">
      <c r="A25" s="41" t="s">
        <v>1313</v>
      </c>
      <c r="B25" s="39"/>
      <c r="G25" s="63"/>
      <c r="I25" s="63"/>
      <c r="K25" s="63"/>
      <c r="M25" s="64"/>
    </row>
    <row r="26" spans="1:18" s="40" customFormat="1" x14ac:dyDescent="0.2">
      <c r="A26" s="90" t="s">
        <v>1308</v>
      </c>
      <c r="B26" s="39"/>
      <c r="C26" s="76">
        <v>3564</v>
      </c>
      <c r="D26" s="63"/>
      <c r="E26" s="76">
        <v>2566</v>
      </c>
      <c r="G26" s="76">
        <v>2835</v>
      </c>
      <c r="I26" s="76">
        <v>2148</v>
      </c>
      <c r="K26" s="76">
        <v>1964</v>
      </c>
      <c r="M26" s="77"/>
      <c r="R26" s="44"/>
    </row>
    <row r="27" spans="1:18" s="40" customFormat="1" x14ac:dyDescent="0.2">
      <c r="A27" s="90" t="s">
        <v>1309</v>
      </c>
      <c r="B27" s="39"/>
      <c r="C27" s="253">
        <v>1035.02</v>
      </c>
      <c r="D27" s="63"/>
      <c r="E27" s="253">
        <v>966.24</v>
      </c>
      <c r="G27" s="253">
        <v>983.98</v>
      </c>
      <c r="I27" s="253">
        <v>998.7</v>
      </c>
      <c r="K27" s="253">
        <v>1026.95</v>
      </c>
      <c r="M27" s="254"/>
      <c r="R27" s="44"/>
    </row>
    <row r="28" spans="1:18" s="40" customFormat="1" x14ac:dyDescent="0.2">
      <c r="A28" s="90" t="s">
        <v>1314</v>
      </c>
      <c r="B28" s="39"/>
      <c r="C28" s="611">
        <v>-9358491</v>
      </c>
      <c r="D28" s="63"/>
      <c r="E28" s="611">
        <v>-9547041</v>
      </c>
      <c r="G28" s="611">
        <v>-8962829</v>
      </c>
      <c r="I28" s="611">
        <v>-9547041</v>
      </c>
      <c r="K28" s="611">
        <v>-9547041</v>
      </c>
      <c r="M28" s="116"/>
      <c r="R28" s="44"/>
    </row>
    <row r="29" spans="1:18" s="40" customFormat="1" x14ac:dyDescent="0.2">
      <c r="A29" s="90" t="s">
        <v>1311</v>
      </c>
      <c r="B29" s="39"/>
      <c r="C29" s="97">
        <f>((C27*C26)*12)+C28</f>
        <v>34907244.359999999</v>
      </c>
      <c r="D29" s="97"/>
      <c r="E29" s="97">
        <f>E26*E27*12+E28</f>
        <v>20205421.079999998</v>
      </c>
      <c r="F29" s="98"/>
      <c r="G29" s="97">
        <f>((G26*G27*12)+G28)</f>
        <v>24512170.600000001</v>
      </c>
      <c r="I29" s="97">
        <f>((I26*I27*12)+I28)</f>
        <v>16195450.200000003</v>
      </c>
      <c r="J29" s="97"/>
      <c r="K29" s="97">
        <f t="shared" ref="K29" si="2">((K26*K27*12)+K28)</f>
        <v>14656116.600000001</v>
      </c>
      <c r="M29" s="98"/>
      <c r="R29" s="44"/>
    </row>
    <row r="30" spans="1:18" s="40" customFormat="1" x14ac:dyDescent="0.2">
      <c r="A30" s="38"/>
      <c r="B30" s="39"/>
      <c r="G30" s="63"/>
      <c r="I30" s="63"/>
      <c r="M30" s="64"/>
    </row>
    <row r="31" spans="1:18" s="40" customFormat="1" x14ac:dyDescent="0.2">
      <c r="A31" s="38" t="s">
        <v>1315</v>
      </c>
      <c r="B31" s="39"/>
      <c r="G31" s="63"/>
      <c r="I31" s="63"/>
    </row>
    <row r="32" spans="1:18" s="40" customFormat="1" x14ac:dyDescent="0.2">
      <c r="A32" s="41" t="s">
        <v>1308</v>
      </c>
      <c r="B32" s="39"/>
      <c r="C32" s="78">
        <v>63975</v>
      </c>
      <c r="D32" s="74"/>
      <c r="E32" s="78">
        <v>48169</v>
      </c>
      <c r="G32" s="76">
        <v>47995</v>
      </c>
      <c r="I32" s="76">
        <v>40255</v>
      </c>
      <c r="K32" s="76">
        <v>37246</v>
      </c>
      <c r="M32" s="77"/>
    </row>
    <row r="33" spans="1:13" s="40" customFormat="1" x14ac:dyDescent="0.2">
      <c r="A33" s="90" t="s">
        <v>1309</v>
      </c>
      <c r="B33" s="39"/>
      <c r="C33" s="965">
        <v>128.41</v>
      </c>
      <c r="D33" s="74"/>
      <c r="E33" s="965">
        <v>128.19999999999999</v>
      </c>
      <c r="G33" s="253">
        <v>128.31</v>
      </c>
      <c r="I33" s="253">
        <v>127.54</v>
      </c>
      <c r="K33" s="253">
        <v>127.57</v>
      </c>
      <c r="M33" s="254"/>
    </row>
    <row r="34" spans="1:13" s="40" customFormat="1" x14ac:dyDescent="0.2">
      <c r="A34" s="90" t="s">
        <v>475</v>
      </c>
      <c r="B34" s="39"/>
      <c r="C34" s="97">
        <f>C32*C33*12</f>
        <v>98580357</v>
      </c>
      <c r="D34" s="74"/>
      <c r="E34" s="97">
        <f>E32*E33*12</f>
        <v>74103189.599999994</v>
      </c>
      <c r="G34" s="97">
        <f>G32*G33*12</f>
        <v>73898861.400000006</v>
      </c>
      <c r="I34" s="97">
        <f>I32*I33*12</f>
        <v>61609472.400000006</v>
      </c>
      <c r="J34" s="97"/>
      <c r="K34" s="97">
        <f t="shared" ref="K34" si="3">K32*K33*12</f>
        <v>57017666.640000001</v>
      </c>
      <c r="M34" s="98"/>
    </row>
    <row r="35" spans="1:13" s="116" customFormat="1" x14ac:dyDescent="0.2">
      <c r="A35" s="966" t="s">
        <v>1316</v>
      </c>
      <c r="B35" s="967"/>
      <c r="C35" s="968">
        <v>-2682352</v>
      </c>
      <c r="D35" s="968"/>
      <c r="E35" s="968">
        <v>-1376780</v>
      </c>
      <c r="G35" s="611">
        <v>-2682352</v>
      </c>
      <c r="I35" s="611">
        <v>-1187526</v>
      </c>
      <c r="K35" s="611">
        <v>-1128508</v>
      </c>
    </row>
    <row r="36" spans="1:13" s="116" customFormat="1" x14ac:dyDescent="0.2">
      <c r="A36" s="966" t="s">
        <v>1317</v>
      </c>
      <c r="B36" s="967"/>
      <c r="C36" s="968">
        <v>-2614065</v>
      </c>
      <c r="D36" s="968"/>
      <c r="E36" s="968">
        <v>-2541116</v>
      </c>
      <c r="G36" s="611">
        <v>-2863115</v>
      </c>
      <c r="I36" s="611">
        <v>-2191810</v>
      </c>
      <c r="K36" s="611">
        <v>-2082881</v>
      </c>
    </row>
    <row r="37" spans="1:13" s="116" customFormat="1" x14ac:dyDescent="0.2">
      <c r="A37" s="966" t="s">
        <v>1318</v>
      </c>
      <c r="B37" s="967"/>
      <c r="C37" s="968">
        <v>-17466228</v>
      </c>
      <c r="D37" s="968"/>
      <c r="E37" s="968">
        <v>-16584299</v>
      </c>
      <c r="G37" s="611">
        <v>-17466228</v>
      </c>
      <c r="I37" s="611">
        <v>-14304594</v>
      </c>
      <c r="K37" s="611">
        <v>-13593682</v>
      </c>
    </row>
    <row r="38" spans="1:13" s="40" customFormat="1" x14ac:dyDescent="0.2">
      <c r="A38" s="969" t="s">
        <v>1319</v>
      </c>
      <c r="B38" s="39"/>
      <c r="C38" s="202">
        <v>1916792</v>
      </c>
      <c r="D38" s="74"/>
      <c r="E38" s="202">
        <v>849477</v>
      </c>
      <c r="G38" s="97">
        <v>1916792</v>
      </c>
      <c r="I38" s="97">
        <v>1185353</v>
      </c>
      <c r="K38" s="97">
        <v>1185353</v>
      </c>
      <c r="M38" s="98"/>
    </row>
    <row r="39" spans="1:13" s="40" customFormat="1" x14ac:dyDescent="0.2">
      <c r="A39" s="969" t="s">
        <v>1320</v>
      </c>
      <c r="B39" s="39"/>
      <c r="C39" s="968">
        <v>290517</v>
      </c>
      <c r="D39" s="74"/>
      <c r="E39" s="968">
        <v>236271</v>
      </c>
      <c r="G39" s="611">
        <v>233593</v>
      </c>
      <c r="I39" s="611">
        <v>217313</v>
      </c>
      <c r="K39" s="611">
        <v>213751</v>
      </c>
      <c r="M39" s="116"/>
    </row>
    <row r="40" spans="1:13" s="40" customFormat="1" x14ac:dyDescent="0.2">
      <c r="A40" s="858" t="s">
        <v>1321</v>
      </c>
      <c r="B40" s="39"/>
      <c r="C40" s="202">
        <f>SUM(C34:C39)</f>
        <v>78025021</v>
      </c>
      <c r="D40" s="74"/>
      <c r="E40" s="202">
        <f>SUM(E34:E39)</f>
        <v>54686742.599999994</v>
      </c>
      <c r="G40" s="97">
        <f>SUM(G34:G39)</f>
        <v>53037551.400000006</v>
      </c>
      <c r="I40" s="97">
        <f>SUM(I34:I39)</f>
        <v>45328208.400000006</v>
      </c>
      <c r="J40" s="97"/>
      <c r="K40" s="97">
        <f t="shared" ref="K40" si="4">SUM(K34:K39)</f>
        <v>41611699.640000001</v>
      </c>
      <c r="M40" s="98"/>
    </row>
    <row r="41" spans="1:13" x14ac:dyDescent="0.2">
      <c r="A41" s="970" t="s">
        <v>1322</v>
      </c>
      <c r="C41" s="971">
        <v>-4264652</v>
      </c>
      <c r="D41" s="451"/>
      <c r="E41" s="971">
        <v>-8269039</v>
      </c>
      <c r="G41" s="972">
        <v>-2671272</v>
      </c>
      <c r="I41" s="972">
        <v>-2266410</v>
      </c>
      <c r="K41" s="972">
        <v>-2080585</v>
      </c>
      <c r="M41" s="972"/>
    </row>
    <row r="42" spans="1:13" x14ac:dyDescent="0.2">
      <c r="A42" s="973" t="s">
        <v>1323</v>
      </c>
      <c r="C42" s="97">
        <f>C40+C41</f>
        <v>73760369</v>
      </c>
      <c r="D42" s="97"/>
      <c r="E42" s="97">
        <f>E40+E41</f>
        <v>46417703.599999994</v>
      </c>
      <c r="F42" s="98"/>
      <c r="G42" s="97">
        <f>G40+G41</f>
        <v>50366279.400000006</v>
      </c>
      <c r="I42" s="97">
        <f>I40+I41</f>
        <v>43061798.400000006</v>
      </c>
      <c r="J42" s="97"/>
      <c r="K42" s="97">
        <f t="shared" ref="K42" si="5">K40+K41</f>
        <v>39531114.640000001</v>
      </c>
      <c r="M42" s="350"/>
    </row>
    <row r="43" spans="1:13" s="40" customFormat="1" x14ac:dyDescent="0.2">
      <c r="A43" s="38"/>
      <c r="B43" s="39"/>
      <c r="G43" s="63"/>
      <c r="I43" s="63"/>
    </row>
    <row r="44" spans="1:13" s="40" customFormat="1" x14ac:dyDescent="0.2">
      <c r="A44" s="38" t="s">
        <v>1324</v>
      </c>
      <c r="B44" s="39"/>
      <c r="G44" s="63"/>
      <c r="I44" s="63"/>
    </row>
    <row r="45" spans="1:13" s="40" customFormat="1" x14ac:dyDescent="0.2">
      <c r="A45" s="41" t="s">
        <v>1308</v>
      </c>
      <c r="B45" s="39"/>
      <c r="C45" s="76">
        <v>11710</v>
      </c>
      <c r="E45" s="76">
        <v>7425</v>
      </c>
      <c r="G45" s="76">
        <v>7446</v>
      </c>
      <c r="I45" s="76">
        <v>5814</v>
      </c>
      <c r="K45" s="76">
        <v>5592</v>
      </c>
      <c r="M45" s="77"/>
    </row>
    <row r="46" spans="1:13" s="40" customFormat="1" x14ac:dyDescent="0.2">
      <c r="A46" s="90" t="s">
        <v>1309</v>
      </c>
      <c r="B46" s="39"/>
      <c r="C46" s="253">
        <v>557.25</v>
      </c>
      <c r="E46" s="253">
        <v>567.82000000000005</v>
      </c>
      <c r="G46" s="253">
        <v>567.46</v>
      </c>
      <c r="I46" s="253">
        <v>587.46</v>
      </c>
      <c r="K46" s="253">
        <v>586.20000000000005</v>
      </c>
      <c r="M46" s="254"/>
    </row>
    <row r="47" spans="1:13" s="40" customFormat="1" x14ac:dyDescent="0.2">
      <c r="A47" s="90" t="s">
        <v>475</v>
      </c>
      <c r="B47" s="39"/>
      <c r="C47" s="97">
        <f>C46*C45*12</f>
        <v>78304770</v>
      </c>
      <c r="E47" s="97">
        <f>E45*E46*12</f>
        <v>50592762</v>
      </c>
      <c r="G47" s="97">
        <v>50703686</v>
      </c>
      <c r="I47" s="97">
        <f>I45*I46*12</f>
        <v>40985909.280000001</v>
      </c>
      <c r="J47" s="97"/>
      <c r="K47" s="97">
        <f t="shared" ref="K47" si="6">K45*K46*12</f>
        <v>39336364.800000004</v>
      </c>
      <c r="M47" s="98"/>
    </row>
    <row r="48" spans="1:13" s="116" customFormat="1" x14ac:dyDescent="0.2">
      <c r="A48" s="966" t="s">
        <v>1316</v>
      </c>
      <c r="B48" s="967"/>
      <c r="C48" s="611">
        <v>-455528</v>
      </c>
      <c r="E48" s="611">
        <v>-356729</v>
      </c>
      <c r="G48" s="611">
        <v>-356983</v>
      </c>
      <c r="I48" s="611">
        <v>-249737</v>
      </c>
      <c r="K48" s="611">
        <v>-249151</v>
      </c>
    </row>
    <row r="49" spans="1:13" s="40" customFormat="1" x14ac:dyDescent="0.2">
      <c r="A49" s="90" t="s">
        <v>1325</v>
      </c>
      <c r="B49" s="39"/>
      <c r="C49" s="97">
        <f>C47+C48</f>
        <v>77849242</v>
      </c>
      <c r="E49" s="97">
        <f>E47+E48</f>
        <v>50236033</v>
      </c>
      <c r="G49" s="97">
        <f>G47+G48</f>
        <v>50346703</v>
      </c>
      <c r="I49" s="97">
        <f>I47+I48</f>
        <v>40736172.280000001</v>
      </c>
      <c r="J49" s="97"/>
      <c r="K49" s="97">
        <f t="shared" ref="K49" si="7">K47+K48</f>
        <v>39087213.800000004</v>
      </c>
      <c r="M49" s="98"/>
    </row>
    <row r="50" spans="1:13" s="116" customFormat="1" x14ac:dyDescent="0.2">
      <c r="A50" s="966" t="s">
        <v>1326</v>
      </c>
      <c r="B50" s="967"/>
      <c r="C50" s="611">
        <f>C49*-0.05</f>
        <v>-3892462.1</v>
      </c>
      <c r="E50" s="611">
        <v>-2511643</v>
      </c>
      <c r="G50" s="611">
        <v>-2517320</v>
      </c>
      <c r="I50" s="611">
        <v>-2036809</v>
      </c>
      <c r="K50" s="611">
        <v>-1954361</v>
      </c>
    </row>
    <row r="51" spans="1:13" s="40" customFormat="1" x14ac:dyDescent="0.2">
      <c r="A51" s="858" t="s">
        <v>1323</v>
      </c>
      <c r="B51" s="39"/>
      <c r="C51" s="97">
        <f>C49+C50</f>
        <v>73956779.900000006</v>
      </c>
      <c r="E51" s="97">
        <f>E49+E50</f>
        <v>47724390</v>
      </c>
      <c r="G51" s="97">
        <f>G49+G50</f>
        <v>47829383</v>
      </c>
      <c r="I51" s="97">
        <f>I49+I50</f>
        <v>38699363.280000001</v>
      </c>
      <c r="J51" s="97"/>
      <c r="K51" s="97">
        <f t="shared" ref="K51" si="8">K49+K50</f>
        <v>37132852.800000004</v>
      </c>
      <c r="M51" s="98"/>
    </row>
    <row r="52" spans="1:13" x14ac:dyDescent="0.2">
      <c r="A52" s="38"/>
      <c r="C52" s="59"/>
      <c r="D52" s="60"/>
    </row>
    <row r="53" spans="1:13" s="40" customFormat="1" x14ac:dyDescent="0.2">
      <c r="A53" s="38" t="s">
        <v>1327</v>
      </c>
      <c r="B53" s="39"/>
      <c r="G53" s="63"/>
      <c r="I53" s="63"/>
    </row>
    <row r="54" spans="1:13" s="40" customFormat="1" x14ac:dyDescent="0.2">
      <c r="A54" s="41" t="s">
        <v>1308</v>
      </c>
      <c r="B54" s="39"/>
      <c r="C54" s="78">
        <v>186490</v>
      </c>
      <c r="D54" s="74"/>
      <c r="E54" s="78">
        <v>185698</v>
      </c>
      <c r="G54" s="76">
        <v>187602</v>
      </c>
      <c r="I54" s="76">
        <v>183610</v>
      </c>
      <c r="K54" s="76">
        <v>181475</v>
      </c>
      <c r="M54" s="77"/>
    </row>
    <row r="55" spans="1:13" s="40" customFormat="1" x14ac:dyDescent="0.2">
      <c r="A55" s="90" t="s">
        <v>1309</v>
      </c>
      <c r="B55" s="39"/>
      <c r="C55" s="965">
        <v>19.72</v>
      </c>
      <c r="D55" s="74"/>
      <c r="E55" s="965">
        <v>19.57</v>
      </c>
      <c r="G55" s="253">
        <v>19.27</v>
      </c>
      <c r="I55" s="253">
        <v>20.74</v>
      </c>
      <c r="K55" s="253">
        <v>20.72</v>
      </c>
      <c r="M55" s="254"/>
    </row>
    <row r="56" spans="1:13" s="40" customFormat="1" x14ac:dyDescent="0.2">
      <c r="A56" s="90" t="s">
        <v>475</v>
      </c>
      <c r="B56" s="39"/>
      <c r="C56" s="202">
        <f>C54*C55*12</f>
        <v>44130993.599999994</v>
      </c>
      <c r="D56" s="74"/>
      <c r="E56" s="202">
        <f>E54*E55*12</f>
        <v>43609318.32</v>
      </c>
      <c r="G56" s="97">
        <f>G54*G55*12</f>
        <v>43381086.480000004</v>
      </c>
      <c r="I56" s="97">
        <f>I54*I55*12</f>
        <v>45696856.799999997</v>
      </c>
      <c r="J56" s="97"/>
      <c r="K56" s="97">
        <f t="shared" ref="K56" si="9">K54*K55*12</f>
        <v>45121944</v>
      </c>
      <c r="M56" s="98"/>
    </row>
    <row r="57" spans="1:13" s="40" customFormat="1" x14ac:dyDescent="0.2">
      <c r="A57" s="858" t="s">
        <v>1328</v>
      </c>
      <c r="B57" s="39"/>
      <c r="C57" s="78">
        <v>1388</v>
      </c>
      <c r="D57" s="74"/>
      <c r="E57" s="78">
        <v>720</v>
      </c>
      <c r="G57" s="76">
        <v>852</v>
      </c>
      <c r="I57" s="76">
        <v>566</v>
      </c>
      <c r="K57" s="76">
        <v>551</v>
      </c>
      <c r="M57" s="77"/>
    </row>
    <row r="58" spans="1:13" s="98" customFormat="1" x14ac:dyDescent="0.2">
      <c r="A58" s="974" t="s">
        <v>1324</v>
      </c>
      <c r="B58" s="975"/>
      <c r="C58" s="202">
        <v>16708133</v>
      </c>
      <c r="D58" s="202"/>
      <c r="E58" s="202">
        <f>E57*976.98*12</f>
        <v>8441107.1999999993</v>
      </c>
      <c r="G58" s="97">
        <f>G57*1003.12*12</f>
        <v>10255898.879999999</v>
      </c>
      <c r="I58" s="97">
        <f>I57*950.55*12</f>
        <v>6456135.5999999996</v>
      </c>
      <c r="J58" s="97"/>
      <c r="K58" s="97">
        <f>K57*956.02*12</f>
        <v>6321204.2400000002</v>
      </c>
    </row>
    <row r="59" spans="1:13" s="116" customFormat="1" x14ac:dyDescent="0.2">
      <c r="A59" s="976" t="s">
        <v>1329</v>
      </c>
      <c r="B59" s="967"/>
      <c r="C59" s="968">
        <v>-287884</v>
      </c>
      <c r="D59" s="968"/>
      <c r="E59" s="968">
        <v>-352104</v>
      </c>
      <c r="G59" s="611">
        <v>-212850</v>
      </c>
      <c r="I59" s="611">
        <v>-352104</v>
      </c>
      <c r="K59" s="611">
        <v>-352104</v>
      </c>
    </row>
    <row r="60" spans="1:13" s="40" customFormat="1" x14ac:dyDescent="0.2">
      <c r="A60" s="977" t="s">
        <v>1330</v>
      </c>
      <c r="B60" s="39"/>
      <c r="C60" s="202">
        <v>14916589</v>
      </c>
      <c r="D60" s="74"/>
      <c r="E60" s="202">
        <v>17835633</v>
      </c>
      <c r="G60" s="97">
        <v>16134488</v>
      </c>
      <c r="I60" s="97">
        <v>17186449</v>
      </c>
      <c r="K60" s="97">
        <v>16657283</v>
      </c>
      <c r="M60" s="98"/>
    </row>
    <row r="61" spans="1:13" s="40" customFormat="1" x14ac:dyDescent="0.2">
      <c r="A61" s="90" t="s">
        <v>1331</v>
      </c>
      <c r="B61" s="39"/>
      <c r="C61" s="202">
        <f>SUM(C56,C58,C59,C60)</f>
        <v>75467831.599999994</v>
      </c>
      <c r="D61" s="74"/>
      <c r="E61" s="202">
        <f>SUM(E56,E58,E59,E60)</f>
        <v>69533954.519999996</v>
      </c>
      <c r="G61" s="97">
        <f>SUM(G56,G58,G59,G60)</f>
        <v>69558623.359999999</v>
      </c>
      <c r="I61" s="97">
        <f>SUM(I56,I58,I59,I60)+1</f>
        <v>68987338.400000006</v>
      </c>
      <c r="J61" s="97"/>
      <c r="K61" s="97">
        <f t="shared" ref="K61" si="10">SUM(K56,K58,K59,K60)</f>
        <v>67748327.24000001</v>
      </c>
      <c r="M61" s="98"/>
    </row>
    <row r="62" spans="1:13" s="40" customFormat="1" x14ac:dyDescent="0.2">
      <c r="A62" s="38"/>
      <c r="B62" s="39"/>
      <c r="C62" s="63"/>
      <c r="G62" s="63"/>
      <c r="I62" s="63"/>
    </row>
    <row r="63" spans="1:13" s="40" customFormat="1" x14ac:dyDescent="0.2">
      <c r="A63" s="38" t="s">
        <v>1332</v>
      </c>
      <c r="B63" s="39"/>
      <c r="C63" s="97">
        <v>25569000</v>
      </c>
      <c r="E63" s="97">
        <v>25593260</v>
      </c>
      <c r="G63" s="97">
        <v>19710504</v>
      </c>
      <c r="H63" s="97" t="s">
        <v>290</v>
      </c>
      <c r="I63" s="97">
        <v>25769504</v>
      </c>
      <c r="J63" s="97"/>
      <c r="K63" s="97">
        <v>19469647</v>
      </c>
      <c r="L63" s="40" t="s">
        <v>290</v>
      </c>
      <c r="M63" s="98"/>
    </row>
    <row r="64" spans="1:13" s="40" customFormat="1" x14ac:dyDescent="0.2">
      <c r="A64" s="38"/>
      <c r="B64" s="39"/>
      <c r="G64" s="63"/>
      <c r="I64" s="63"/>
    </row>
    <row r="65" spans="1:13" s="40" customFormat="1" x14ac:dyDescent="0.2">
      <c r="A65" s="38" t="s">
        <v>1333</v>
      </c>
      <c r="B65" s="39"/>
      <c r="G65" s="63"/>
      <c r="I65" s="63"/>
    </row>
    <row r="66" spans="1:13" s="40" customFormat="1" x14ac:dyDescent="0.2">
      <c r="A66" s="41" t="s">
        <v>1334</v>
      </c>
      <c r="B66" s="39"/>
      <c r="C66" s="76">
        <v>449772</v>
      </c>
      <c r="E66" s="76">
        <v>420467.25</v>
      </c>
      <c r="G66" s="76">
        <v>418839</v>
      </c>
      <c r="I66" s="76">
        <v>407225.7192339368</v>
      </c>
      <c r="K66" s="76">
        <v>403288.07838768192</v>
      </c>
      <c r="M66" s="77"/>
    </row>
    <row r="67" spans="1:13" s="40" customFormat="1" x14ac:dyDescent="0.2">
      <c r="A67" s="90" t="s">
        <v>1335</v>
      </c>
      <c r="B67" s="39"/>
      <c r="C67" s="978">
        <v>1</v>
      </c>
      <c r="E67" s="978">
        <v>1</v>
      </c>
      <c r="G67" s="978">
        <v>1</v>
      </c>
      <c r="I67" s="978">
        <v>1</v>
      </c>
      <c r="K67" s="978">
        <v>1</v>
      </c>
      <c r="M67" s="979"/>
    </row>
    <row r="68" spans="1:13" s="40" customFormat="1" x14ac:dyDescent="0.2">
      <c r="A68" s="90" t="s">
        <v>1336</v>
      </c>
      <c r="B68" s="39"/>
      <c r="C68" s="76">
        <v>898351</v>
      </c>
      <c r="E68" s="76">
        <v>844547.16666666663</v>
      </c>
      <c r="G68" s="76">
        <v>844074</v>
      </c>
      <c r="I68" s="76">
        <v>819707.99848403817</v>
      </c>
      <c r="K68" s="76">
        <v>811320.5010228121</v>
      </c>
      <c r="M68" s="77"/>
    </row>
    <row r="69" spans="1:13" s="40" customFormat="1" x14ac:dyDescent="0.2">
      <c r="A69" s="90" t="s">
        <v>1337</v>
      </c>
      <c r="B69" s="39"/>
      <c r="C69" s="97">
        <v>1254711019</v>
      </c>
      <c r="E69" s="97">
        <v>1156355910.0300002</v>
      </c>
      <c r="G69" s="97">
        <v>1137357804</v>
      </c>
      <c r="I69" s="97">
        <v>1115764498.7814112</v>
      </c>
      <c r="K69" s="97">
        <v>1190624625</v>
      </c>
      <c r="M69" s="98"/>
    </row>
    <row r="70" spans="1:13" s="40" customFormat="1" x14ac:dyDescent="0.2">
      <c r="A70" s="90" t="s">
        <v>1338</v>
      </c>
      <c r="B70" s="39"/>
      <c r="C70" s="253">
        <f>C69/C68/12</f>
        <v>116.39019891260023</v>
      </c>
      <c r="E70" s="253">
        <v>114.10019038111749</v>
      </c>
      <c r="G70" s="253">
        <f>G69/G68/12</f>
        <v>112.28851617275262</v>
      </c>
      <c r="I70" s="253">
        <v>113.43109384123143</v>
      </c>
      <c r="K70" s="253">
        <v>122.29</v>
      </c>
      <c r="M70" s="254"/>
    </row>
    <row r="71" spans="1:13" s="40" customFormat="1" x14ac:dyDescent="0.2">
      <c r="A71" s="38"/>
      <c r="B71" s="39"/>
      <c r="G71" s="63"/>
      <c r="I71" s="63"/>
      <c r="K71" s="63"/>
    </row>
    <row r="72" spans="1:13" s="40" customFormat="1" x14ac:dyDescent="0.2">
      <c r="A72" s="41" t="s">
        <v>1339</v>
      </c>
      <c r="B72" s="39"/>
      <c r="G72" s="63"/>
      <c r="I72" s="63"/>
      <c r="K72" s="63"/>
    </row>
    <row r="73" spans="1:13" s="40" customFormat="1" x14ac:dyDescent="0.2">
      <c r="A73" s="90" t="s">
        <v>1340</v>
      </c>
      <c r="B73" s="39"/>
      <c r="G73" s="63"/>
      <c r="I73" s="63"/>
      <c r="K73" s="63"/>
    </row>
    <row r="74" spans="1:13" s="40" customFormat="1" x14ac:dyDescent="0.2">
      <c r="A74" s="131" t="s">
        <v>1341</v>
      </c>
      <c r="B74" s="39"/>
      <c r="C74" s="901">
        <v>40380</v>
      </c>
      <c r="E74" s="901">
        <v>43380</v>
      </c>
      <c r="G74" s="901">
        <v>47546</v>
      </c>
      <c r="I74" s="901">
        <v>45324</v>
      </c>
      <c r="K74" s="901">
        <v>46045</v>
      </c>
      <c r="M74" s="892"/>
    </row>
    <row r="75" spans="1:13" s="40" customFormat="1" x14ac:dyDescent="0.2">
      <c r="A75" s="131" t="s">
        <v>1342</v>
      </c>
      <c r="B75" s="39"/>
      <c r="C75" s="611">
        <v>195277251</v>
      </c>
      <c r="E75" s="611">
        <f>210847046</f>
        <v>210847046</v>
      </c>
      <c r="G75" s="611">
        <v>233229566</v>
      </c>
      <c r="I75" s="611">
        <v>221712221</v>
      </c>
      <c r="K75" s="611">
        <v>226587291</v>
      </c>
      <c r="M75" s="116"/>
    </row>
    <row r="76" spans="1:13" s="40" customFormat="1" x14ac:dyDescent="0.2">
      <c r="A76" s="90" t="s">
        <v>1343</v>
      </c>
      <c r="B76" s="39"/>
      <c r="C76" s="63"/>
      <c r="E76" s="63"/>
      <c r="G76" s="63"/>
      <c r="I76" s="63"/>
      <c r="K76" s="63"/>
    </row>
    <row r="77" spans="1:13" s="40" customFormat="1" x14ac:dyDescent="0.2">
      <c r="A77" s="131" t="s">
        <v>1341</v>
      </c>
      <c r="B77" s="39"/>
      <c r="C77" s="901">
        <v>2788</v>
      </c>
      <c r="E77" s="901">
        <v>2670</v>
      </c>
      <c r="G77" s="901">
        <v>2742</v>
      </c>
      <c r="I77" s="901">
        <v>2643</v>
      </c>
      <c r="K77" s="901">
        <v>2676</v>
      </c>
      <c r="M77" s="892"/>
    </row>
    <row r="78" spans="1:13" s="40" customFormat="1" x14ac:dyDescent="0.2">
      <c r="A78" s="131" t="s">
        <v>1342</v>
      </c>
      <c r="B78" s="39"/>
      <c r="C78" s="611">
        <v>19831493</v>
      </c>
      <c r="E78" s="611">
        <v>18699526</v>
      </c>
      <c r="G78" s="611">
        <v>19479268</v>
      </c>
      <c r="I78" s="611">
        <v>18329051</v>
      </c>
      <c r="K78" s="611">
        <v>18709046</v>
      </c>
      <c r="M78" s="116"/>
    </row>
    <row r="79" spans="1:13" s="40" customFormat="1" x14ac:dyDescent="0.2">
      <c r="A79" s="90" t="s">
        <v>1344</v>
      </c>
      <c r="B79" s="39"/>
      <c r="C79" s="63"/>
      <c r="E79" s="63"/>
      <c r="G79" s="63"/>
      <c r="I79" s="63"/>
      <c r="K79" s="63"/>
    </row>
    <row r="80" spans="1:13" s="77" customFormat="1" x14ac:dyDescent="0.2">
      <c r="A80" s="980" t="s">
        <v>1341</v>
      </c>
      <c r="B80" s="464"/>
      <c r="C80" s="901">
        <v>3953</v>
      </c>
      <c r="E80" s="901">
        <v>2579</v>
      </c>
      <c r="G80" s="901">
        <v>2800</v>
      </c>
      <c r="I80" s="901">
        <v>2277</v>
      </c>
      <c r="K80" s="901">
        <v>2126</v>
      </c>
      <c r="M80" s="892"/>
    </row>
    <row r="81" spans="1:13" s="40" customFormat="1" x14ac:dyDescent="0.2">
      <c r="A81" s="131" t="s">
        <v>1342</v>
      </c>
      <c r="B81" s="39"/>
      <c r="C81" s="637">
        <v>23668097</v>
      </c>
      <c r="E81" s="637">
        <v>15879426</v>
      </c>
      <c r="G81" s="637">
        <v>16560130</v>
      </c>
      <c r="I81" s="637">
        <v>13580349</v>
      </c>
      <c r="K81" s="637">
        <v>12215837</v>
      </c>
      <c r="M81" s="981"/>
    </row>
    <row r="82" spans="1:13" s="40" customFormat="1" x14ac:dyDescent="0.2">
      <c r="A82" s="90" t="s">
        <v>1345</v>
      </c>
      <c r="B82" s="39"/>
      <c r="C82" s="63"/>
      <c r="E82" s="63"/>
      <c r="G82" s="63"/>
      <c r="I82" s="63"/>
      <c r="K82" s="63"/>
    </row>
    <row r="83" spans="1:13" s="40" customFormat="1" x14ac:dyDescent="0.2">
      <c r="A83" s="131" t="s">
        <v>1341</v>
      </c>
      <c r="B83" s="39"/>
      <c r="C83" s="901">
        <v>4374</v>
      </c>
      <c r="E83" s="901">
        <v>3948</v>
      </c>
      <c r="G83" s="901">
        <v>4404</v>
      </c>
      <c r="I83" s="901">
        <v>3704</v>
      </c>
      <c r="K83" s="901">
        <v>4014</v>
      </c>
      <c r="M83" s="892"/>
    </row>
    <row r="84" spans="1:13" s="40" customFormat="1" x14ac:dyDescent="0.2">
      <c r="A84" s="131" t="s">
        <v>1342</v>
      </c>
      <c r="B84" s="39"/>
      <c r="C84" s="611">
        <v>24298422</v>
      </c>
      <c r="E84" s="611">
        <v>21824232</v>
      </c>
      <c r="G84" s="611">
        <v>24401338</v>
      </c>
      <c r="I84" s="611">
        <v>20410770</v>
      </c>
      <c r="K84" s="611">
        <v>22167199</v>
      </c>
      <c r="M84" s="116"/>
    </row>
    <row r="85" spans="1:13" s="40" customFormat="1" x14ac:dyDescent="0.2">
      <c r="A85" s="90" t="s">
        <v>1346</v>
      </c>
      <c r="B85" s="39"/>
      <c r="C85" s="97"/>
      <c r="E85" s="63"/>
      <c r="G85" s="63"/>
      <c r="I85" s="63"/>
      <c r="K85" s="63"/>
      <c r="M85" s="98"/>
    </row>
    <row r="86" spans="1:13" s="40" customFormat="1" x14ac:dyDescent="0.2">
      <c r="A86" s="131" t="s">
        <v>1341</v>
      </c>
      <c r="B86" s="39"/>
      <c r="C86" s="901">
        <v>3956</v>
      </c>
      <c r="E86" s="901">
        <v>3304</v>
      </c>
      <c r="G86" s="901">
        <v>3019</v>
      </c>
      <c r="I86" s="901">
        <v>2875</v>
      </c>
      <c r="K86" s="901">
        <v>2559</v>
      </c>
      <c r="M86" s="892"/>
    </row>
    <row r="87" spans="1:13" s="40" customFormat="1" x14ac:dyDescent="0.2">
      <c r="A87" s="131" t="s">
        <v>1342</v>
      </c>
      <c r="B87" s="39"/>
      <c r="C87" s="611">
        <v>13411519</v>
      </c>
      <c r="E87" s="611">
        <v>10741155</v>
      </c>
      <c r="G87" s="611">
        <v>9987190</v>
      </c>
      <c r="I87" s="611">
        <v>9193974</v>
      </c>
      <c r="K87" s="611">
        <v>8233960</v>
      </c>
      <c r="M87" s="116"/>
    </row>
    <row r="88" spans="1:13" s="40" customFormat="1" x14ac:dyDescent="0.2">
      <c r="A88" s="90" t="s">
        <v>1347</v>
      </c>
      <c r="B88" s="39"/>
      <c r="C88" s="63"/>
      <c r="E88" s="63"/>
      <c r="G88" s="63"/>
      <c r="I88" s="63"/>
      <c r="K88" s="63"/>
    </row>
    <row r="89" spans="1:13" s="40" customFormat="1" x14ac:dyDescent="0.2">
      <c r="A89" s="131" t="s">
        <v>1341</v>
      </c>
      <c r="B89" s="39"/>
      <c r="C89" s="901">
        <v>457</v>
      </c>
      <c r="E89" s="901">
        <v>568</v>
      </c>
      <c r="G89" s="901">
        <v>465</v>
      </c>
      <c r="I89" s="901">
        <v>570</v>
      </c>
      <c r="K89" s="901">
        <v>523</v>
      </c>
      <c r="M89" s="892"/>
    </row>
    <row r="90" spans="1:13" s="40" customFormat="1" x14ac:dyDescent="0.2">
      <c r="A90" s="131" t="s">
        <v>1342</v>
      </c>
      <c r="B90" s="39"/>
      <c r="C90" s="637">
        <v>2037239</v>
      </c>
      <c r="E90" s="637">
        <v>2539803</v>
      </c>
      <c r="G90" s="637">
        <v>2037852</v>
      </c>
      <c r="I90" s="637">
        <v>2628726</v>
      </c>
      <c r="K90" s="637">
        <v>2324430</v>
      </c>
      <c r="M90" s="981"/>
    </row>
    <row r="91" spans="1:13" s="40" customFormat="1" x14ac:dyDescent="0.2">
      <c r="A91" s="90" t="s">
        <v>1348</v>
      </c>
      <c r="B91" s="39"/>
      <c r="C91" s="637"/>
      <c r="E91" s="637"/>
      <c r="G91" s="637"/>
      <c r="I91" s="637"/>
      <c r="K91" s="637"/>
      <c r="M91" s="981"/>
    </row>
    <row r="92" spans="1:13" s="40" customFormat="1" x14ac:dyDescent="0.2">
      <c r="A92" s="131" t="s">
        <v>1341</v>
      </c>
      <c r="B92" s="39"/>
      <c r="C92" s="901">
        <v>698</v>
      </c>
      <c r="E92" s="901">
        <v>747</v>
      </c>
      <c r="G92" s="901">
        <v>781</v>
      </c>
      <c r="I92" s="901">
        <v>788</v>
      </c>
      <c r="K92" s="901">
        <v>835</v>
      </c>
      <c r="M92" s="892"/>
    </row>
    <row r="93" spans="1:13" s="40" customFormat="1" x14ac:dyDescent="0.2">
      <c r="A93" s="131" t="s">
        <v>1342</v>
      </c>
      <c r="B93" s="39"/>
      <c r="C93" s="637">
        <v>2797322</v>
      </c>
      <c r="E93" s="637">
        <v>3040834</v>
      </c>
      <c r="G93" s="637">
        <v>3129586</v>
      </c>
      <c r="I93" s="637">
        <v>3199098</v>
      </c>
      <c r="K93" s="637">
        <v>3386301</v>
      </c>
      <c r="M93" s="981"/>
    </row>
    <row r="94" spans="1:13" s="40" customFormat="1" x14ac:dyDescent="0.2">
      <c r="A94" s="90" t="s">
        <v>1349</v>
      </c>
      <c r="B94" s="39"/>
      <c r="C94" s="637"/>
      <c r="E94" s="637"/>
      <c r="G94" s="637"/>
      <c r="I94" s="637"/>
      <c r="K94" s="637"/>
      <c r="M94" s="981"/>
    </row>
    <row r="95" spans="1:13" s="40" customFormat="1" x14ac:dyDescent="0.2">
      <c r="A95" s="131" t="s">
        <v>1341</v>
      </c>
      <c r="B95" s="39"/>
      <c r="C95" s="901">
        <v>488</v>
      </c>
      <c r="D95" s="901"/>
      <c r="E95" s="901">
        <v>463</v>
      </c>
      <c r="G95" s="901">
        <v>467</v>
      </c>
      <c r="I95" s="901">
        <v>479</v>
      </c>
      <c r="K95" s="901">
        <v>466</v>
      </c>
      <c r="M95" s="892"/>
    </row>
    <row r="96" spans="1:13" s="40" customFormat="1" x14ac:dyDescent="0.2">
      <c r="A96" s="131" t="s">
        <v>1342</v>
      </c>
      <c r="B96" s="39"/>
      <c r="C96" s="637">
        <v>3098322</v>
      </c>
      <c r="E96" s="637">
        <v>3040824</v>
      </c>
      <c r="G96" s="637">
        <v>3001694</v>
      </c>
      <c r="I96" s="637">
        <v>3121960</v>
      </c>
      <c r="K96" s="637">
        <v>3030224</v>
      </c>
      <c r="M96" s="981"/>
    </row>
    <row r="97" spans="1:14" s="40" customFormat="1" x14ac:dyDescent="0.2">
      <c r="A97" s="90" t="s">
        <v>1350</v>
      </c>
      <c r="B97" s="39"/>
      <c r="C97" s="63"/>
      <c r="G97" s="63"/>
      <c r="I97" s="63"/>
      <c r="K97" s="63"/>
    </row>
    <row r="98" spans="1:14" s="40" customFormat="1" x14ac:dyDescent="0.2">
      <c r="A98" s="131" t="s">
        <v>1341</v>
      </c>
      <c r="B98" s="39"/>
      <c r="C98" s="76">
        <f>C89+C83+C80+C77+C74+C86+C92+C95</f>
        <v>57094</v>
      </c>
      <c r="E98" s="76">
        <f>E89+E83+E80+E77+E74+E86+E92+E95</f>
        <v>57659</v>
      </c>
      <c r="G98" s="76">
        <f>G89+G83+G80+G77+G74+G86+G92+G95</f>
        <v>62224</v>
      </c>
      <c r="I98" s="76">
        <f>I89+I83+I80+I77+I74+I86+I92+I95</f>
        <v>58660</v>
      </c>
      <c r="K98" s="76">
        <f>K89+K83+K80+K77+K74+K86+K92+K95</f>
        <v>59244</v>
      </c>
      <c r="M98" s="78"/>
    </row>
    <row r="99" spans="1:14" s="40" customFormat="1" x14ac:dyDescent="0.2">
      <c r="A99" s="131" t="s">
        <v>1342</v>
      </c>
      <c r="B99" s="39"/>
      <c r="C99" s="97">
        <f>C90+C84+C81+C78+C75+C87+C93+C96</f>
        <v>284419665</v>
      </c>
      <c r="E99" s="97">
        <f>E90+E84+E81+E78+E75+E87+E93+E96</f>
        <v>286612846</v>
      </c>
      <c r="G99" s="97">
        <f>G90+G84+G81+G78+G75+G87+G93+G96</f>
        <v>311826624</v>
      </c>
      <c r="I99" s="97">
        <f>I90+I84+I81+I78+I75+I87+I93+I96</f>
        <v>292176149</v>
      </c>
      <c r="K99" s="97">
        <f>K90+K84+K81+K78+K75+K87+K93+K96</f>
        <v>296654288</v>
      </c>
      <c r="M99" s="202"/>
    </row>
    <row r="100" spans="1:14" s="40" customFormat="1" x14ac:dyDescent="0.2">
      <c r="A100" s="131"/>
      <c r="B100" s="39"/>
      <c r="G100" s="63"/>
      <c r="I100" s="63"/>
    </row>
    <row r="101" spans="1:14" s="37" customFormat="1" x14ac:dyDescent="0.2">
      <c r="A101" s="35" t="s">
        <v>194</v>
      </c>
      <c r="B101" s="36"/>
      <c r="G101" s="87"/>
      <c r="I101" s="87"/>
    </row>
    <row r="102" spans="1:14" s="37" customFormat="1" x14ac:dyDescent="0.2">
      <c r="A102" s="35" t="s">
        <v>195</v>
      </c>
      <c r="B102" s="36"/>
      <c r="G102" s="87"/>
      <c r="I102" s="87"/>
    </row>
    <row r="103" spans="1:14" s="40" customFormat="1" x14ac:dyDescent="0.2">
      <c r="A103" s="38" t="s">
        <v>196</v>
      </c>
      <c r="B103" s="39"/>
      <c r="G103" s="63"/>
      <c r="I103" s="63"/>
    </row>
    <row r="104" spans="1:14" s="40" customFormat="1" x14ac:dyDescent="0.2">
      <c r="A104" s="41" t="s">
        <v>197</v>
      </c>
      <c r="B104" s="39"/>
      <c r="C104" s="71">
        <v>178</v>
      </c>
      <c r="E104" s="71">
        <v>170</v>
      </c>
      <c r="G104" s="71">
        <v>168</v>
      </c>
      <c r="I104" s="71">
        <v>146</v>
      </c>
      <c r="K104" s="71">
        <v>147</v>
      </c>
      <c r="M104" s="70"/>
    </row>
    <row r="105" spans="1:14" s="40" customFormat="1" x14ac:dyDescent="0.2">
      <c r="A105" s="41" t="s">
        <v>261</v>
      </c>
      <c r="B105" s="39"/>
      <c r="C105" s="71">
        <v>161</v>
      </c>
      <c r="E105" s="71">
        <v>145</v>
      </c>
      <c r="G105" s="71">
        <v>145</v>
      </c>
      <c r="I105" s="71">
        <v>163</v>
      </c>
      <c r="K105" s="71">
        <v>163</v>
      </c>
      <c r="M105" s="70"/>
    </row>
    <row r="106" spans="1:14" s="40" customFormat="1" x14ac:dyDescent="0.2">
      <c r="A106" s="41" t="s">
        <v>198</v>
      </c>
      <c r="B106" s="39"/>
      <c r="C106" s="76">
        <f>C104+C105</f>
        <v>339</v>
      </c>
      <c r="E106" s="76">
        <f>E104+E105</f>
        <v>315</v>
      </c>
      <c r="G106" s="76">
        <f>SUM(G104:G105)</f>
        <v>313</v>
      </c>
      <c r="I106" s="76">
        <v>309</v>
      </c>
      <c r="K106" s="76">
        <f>SUM(K104+K105)</f>
        <v>310</v>
      </c>
      <c r="M106" s="77"/>
    </row>
    <row r="107" spans="1:14" s="40" customFormat="1" x14ac:dyDescent="0.2">
      <c r="A107" s="38" t="s">
        <v>199</v>
      </c>
      <c r="B107" s="39"/>
      <c r="C107" s="63"/>
      <c r="G107" s="63"/>
      <c r="I107" s="63"/>
    </row>
    <row r="108" spans="1:14" s="40" customFormat="1" x14ac:dyDescent="0.2">
      <c r="A108" s="41" t="s">
        <v>1305</v>
      </c>
      <c r="B108" s="39"/>
      <c r="C108" s="76">
        <v>339</v>
      </c>
      <c r="E108" s="76">
        <v>315</v>
      </c>
      <c r="G108" s="76">
        <v>313</v>
      </c>
      <c r="I108" s="76">
        <v>309</v>
      </c>
      <c r="K108" s="76">
        <f>SUM(K106+K107)</f>
        <v>310</v>
      </c>
      <c r="M108" s="77"/>
    </row>
    <row r="109" spans="1:14" s="70" customFormat="1" x14ac:dyDescent="0.2">
      <c r="A109" s="982" t="s">
        <v>198</v>
      </c>
      <c r="B109" s="983"/>
      <c r="C109" s="76">
        <f>C108</f>
        <v>339</v>
      </c>
      <c r="E109" s="76">
        <f>E108</f>
        <v>315</v>
      </c>
      <c r="G109" s="76">
        <v>313</v>
      </c>
      <c r="I109" s="76">
        <v>309</v>
      </c>
      <c r="K109" s="76">
        <f>SUM(K107+K108)</f>
        <v>310</v>
      </c>
      <c r="M109" s="77"/>
    </row>
    <row r="110" spans="1:14" s="37" customFormat="1" x14ac:dyDescent="0.2">
      <c r="A110" s="35"/>
      <c r="B110" s="36"/>
      <c r="G110" s="87"/>
      <c r="I110" s="87"/>
    </row>
    <row r="111" spans="1:14" s="48" customFormat="1" x14ac:dyDescent="0.2">
      <c r="A111" s="46"/>
      <c r="B111" s="47"/>
    </row>
    <row r="112" spans="1:14" s="48" customFormat="1" x14ac:dyDescent="0.2">
      <c r="A112" s="49" t="s">
        <v>200</v>
      </c>
      <c r="B112" s="50"/>
      <c r="C112" s="51"/>
      <c r="D112" s="52"/>
      <c r="E112" s="53"/>
      <c r="F112" s="52"/>
      <c r="G112" s="53"/>
      <c r="H112" s="52"/>
      <c r="I112" s="53"/>
      <c r="J112" s="52"/>
      <c r="K112" s="53"/>
      <c r="L112" s="52"/>
      <c r="M112" s="51"/>
      <c r="N112" s="52"/>
    </row>
    <row r="113" spans="1:17" ht="27.75" customHeight="1" x14ac:dyDescent="0.2">
      <c r="A113" s="1738" t="s">
        <v>524</v>
      </c>
      <c r="B113" s="1736"/>
      <c r="C113" s="1737"/>
      <c r="D113" s="1736"/>
      <c r="E113" s="1737"/>
      <c r="F113" s="1736"/>
      <c r="G113" s="1737"/>
      <c r="H113" s="1736"/>
      <c r="I113" s="1737"/>
      <c r="J113" s="1736"/>
      <c r="K113" s="1737"/>
      <c r="L113" s="1736"/>
      <c r="M113" s="1737"/>
      <c r="N113" s="1736"/>
      <c r="O113" s="54"/>
      <c r="P113" s="54"/>
      <c r="Q113" s="951"/>
    </row>
    <row r="114" spans="1:17" ht="27.75" customHeight="1" x14ac:dyDescent="0.2">
      <c r="A114" s="1758" t="s">
        <v>1351</v>
      </c>
      <c r="B114" s="1736"/>
      <c r="C114" s="1737"/>
      <c r="D114" s="1736"/>
      <c r="E114" s="1737"/>
      <c r="F114" s="1736"/>
      <c r="G114" s="1737"/>
      <c r="H114" s="1736"/>
      <c r="I114" s="1737"/>
      <c r="J114" s="1736"/>
      <c r="K114" s="1737"/>
      <c r="L114" s="1736"/>
      <c r="M114" s="1737"/>
      <c r="N114" s="1736"/>
      <c r="O114" s="54"/>
      <c r="P114" s="54"/>
    </row>
    <row r="115" spans="1:17" ht="27.75" customHeight="1" x14ac:dyDescent="0.2">
      <c r="A115" s="1738"/>
      <c r="B115" s="1736"/>
      <c r="C115" s="1737"/>
      <c r="D115" s="1736"/>
      <c r="E115" s="1737"/>
      <c r="F115" s="1736"/>
      <c r="G115" s="1737"/>
      <c r="H115" s="1736"/>
      <c r="I115" s="1737"/>
      <c r="J115" s="1736"/>
      <c r="K115" s="1737"/>
      <c r="L115" s="1736"/>
      <c r="M115" s="1737"/>
      <c r="N115" s="1736"/>
      <c r="O115" s="54"/>
      <c r="P115" s="54"/>
    </row>
    <row r="116" spans="1:17" ht="27.75" customHeight="1" x14ac:dyDescent="0.2">
      <c r="A116" s="29"/>
      <c r="B116" s="29"/>
      <c r="C116" s="29"/>
      <c r="D116" s="29"/>
      <c r="E116" s="29"/>
      <c r="F116" s="29"/>
      <c r="G116" s="29"/>
      <c r="H116" s="29"/>
      <c r="I116" s="29"/>
      <c r="J116" s="29"/>
      <c r="K116" s="29"/>
      <c r="L116" s="29"/>
      <c r="M116" s="29"/>
      <c r="N116" s="29"/>
      <c r="O116" s="54"/>
      <c r="P116" s="54"/>
    </row>
    <row r="117" spans="1:17" ht="27.75" customHeight="1" x14ac:dyDescent="0.2">
      <c r="A117" s="1738"/>
      <c r="B117" s="1736"/>
      <c r="C117" s="1737"/>
      <c r="D117" s="1736"/>
      <c r="E117" s="1737"/>
      <c r="F117" s="1736"/>
      <c r="G117" s="1737"/>
      <c r="H117" s="1736"/>
      <c r="I117" s="1737"/>
      <c r="J117" s="1736"/>
      <c r="K117" s="1737"/>
      <c r="L117" s="1736"/>
      <c r="M117" s="1737"/>
      <c r="N117" s="1736"/>
      <c r="O117" s="54"/>
      <c r="P117" s="54"/>
    </row>
    <row r="118" spans="1:17" ht="27.75" customHeight="1" x14ac:dyDescent="0.2">
      <c r="A118" s="1738"/>
      <c r="B118" s="1736"/>
      <c r="C118" s="1737"/>
      <c r="D118" s="1736"/>
      <c r="E118" s="1737"/>
      <c r="F118" s="1736"/>
      <c r="G118" s="1737"/>
      <c r="H118" s="1736"/>
      <c r="I118" s="1737"/>
      <c r="J118" s="1736"/>
      <c r="K118" s="1737"/>
      <c r="L118" s="1736"/>
      <c r="M118" s="1737"/>
      <c r="N118" s="1736"/>
      <c r="O118" s="54"/>
      <c r="P118" s="54"/>
    </row>
    <row r="119" spans="1:17" ht="27.75" customHeight="1" x14ac:dyDescent="0.2">
      <c r="A119" s="1735"/>
      <c r="B119" s="1736"/>
      <c r="C119" s="1737"/>
      <c r="D119" s="1736"/>
      <c r="E119" s="1737"/>
      <c r="F119" s="1736"/>
      <c r="G119" s="1737"/>
      <c r="H119" s="1736"/>
      <c r="I119" s="1737"/>
      <c r="J119" s="1736"/>
      <c r="K119" s="1737"/>
      <c r="L119" s="1736"/>
      <c r="M119" s="1737"/>
      <c r="N119" s="1736"/>
      <c r="O119" s="54"/>
      <c r="P119" s="54"/>
    </row>
    <row r="120" spans="1:17" ht="27.75" customHeight="1" x14ac:dyDescent="0.2">
      <c r="A120" s="1735"/>
      <c r="B120" s="1736"/>
      <c r="C120" s="1737"/>
      <c r="D120" s="1736"/>
      <c r="E120" s="1737"/>
      <c r="F120" s="1736"/>
      <c r="G120" s="1737"/>
      <c r="H120" s="1736"/>
      <c r="I120" s="1737"/>
      <c r="J120" s="1736"/>
      <c r="K120" s="1737"/>
      <c r="L120" s="1736"/>
      <c r="M120" s="1737"/>
      <c r="N120" s="1736"/>
      <c r="O120" s="54"/>
      <c r="P120" s="54"/>
    </row>
    <row r="121" spans="1:17" ht="27.75" customHeight="1" x14ac:dyDescent="0.2">
      <c r="A121" s="1735"/>
      <c r="B121" s="1736"/>
      <c r="C121" s="1737"/>
      <c r="D121" s="1736"/>
      <c r="E121" s="1737"/>
      <c r="F121" s="1736"/>
      <c r="G121" s="1737"/>
      <c r="H121" s="1736"/>
      <c r="I121" s="1737"/>
      <c r="J121" s="1736"/>
      <c r="K121" s="1737"/>
      <c r="L121" s="1736"/>
      <c r="M121" s="1737"/>
      <c r="N121" s="1736"/>
      <c r="O121" s="54"/>
      <c r="P121" s="54"/>
    </row>
    <row r="122" spans="1:17" ht="27.75" customHeight="1" x14ac:dyDescent="0.2">
      <c r="A122" s="1735"/>
      <c r="B122" s="1736"/>
      <c r="C122" s="1737"/>
      <c r="D122" s="1736"/>
      <c r="E122" s="1737"/>
      <c r="F122" s="1736"/>
      <c r="G122" s="1737"/>
      <c r="H122" s="1736"/>
      <c r="I122" s="1737"/>
      <c r="J122" s="1736"/>
      <c r="K122" s="1737"/>
      <c r="L122" s="1736"/>
      <c r="M122" s="1737"/>
      <c r="N122" s="1736"/>
      <c r="O122" s="54"/>
      <c r="P122" s="54"/>
    </row>
    <row r="123" spans="1:17" ht="27.75" customHeight="1" x14ac:dyDescent="0.2">
      <c r="A123" s="1735"/>
      <c r="B123" s="1736"/>
      <c r="C123" s="1737"/>
      <c r="D123" s="1736"/>
      <c r="E123" s="1737"/>
      <c r="F123" s="1736"/>
      <c r="G123" s="1737"/>
      <c r="H123" s="1736"/>
      <c r="I123" s="1737"/>
      <c r="J123" s="1736"/>
      <c r="K123" s="1737"/>
      <c r="L123" s="1736"/>
      <c r="M123" s="1737"/>
      <c r="N123" s="1736"/>
      <c r="O123" s="54"/>
      <c r="P123" s="54"/>
    </row>
    <row r="124" spans="1:17" ht="27.75" customHeight="1" x14ac:dyDescent="0.2">
      <c r="A124" s="1735"/>
      <c r="B124" s="1736"/>
      <c r="C124" s="1737"/>
      <c r="D124" s="1736"/>
      <c r="E124" s="1737"/>
      <c r="F124" s="1736"/>
      <c r="G124" s="1737"/>
      <c r="H124" s="1736"/>
      <c r="I124" s="1737"/>
      <c r="J124" s="1736"/>
      <c r="K124" s="1737"/>
      <c r="L124" s="1736"/>
      <c r="M124" s="1737"/>
      <c r="N124" s="1736"/>
      <c r="O124" s="54"/>
      <c r="P124" s="54"/>
    </row>
    <row r="125" spans="1:17" x14ac:dyDescent="0.2">
      <c r="A125" s="55"/>
      <c r="B125" s="54"/>
      <c r="C125" s="56"/>
      <c r="D125" s="54"/>
      <c r="E125" s="56"/>
      <c r="F125" s="54"/>
      <c r="G125" s="56"/>
      <c r="H125" s="54"/>
      <c r="I125" s="652"/>
      <c r="J125" s="54"/>
      <c r="K125" s="652"/>
      <c r="L125" s="54"/>
      <c r="M125" s="652"/>
      <c r="N125" s="54"/>
      <c r="O125" s="54"/>
      <c r="P125" s="54"/>
    </row>
    <row r="126" spans="1:17" x14ac:dyDescent="0.2">
      <c r="A126" s="55"/>
      <c r="B126" s="54"/>
      <c r="C126" s="54"/>
      <c r="D126" s="54"/>
      <c r="E126" s="54"/>
      <c r="F126" s="54"/>
      <c r="G126" s="54"/>
      <c r="H126" s="54"/>
      <c r="I126" s="649"/>
      <c r="J126" s="54"/>
      <c r="K126" s="649"/>
      <c r="L126" s="54"/>
      <c r="M126" s="649"/>
      <c r="N126" s="54"/>
      <c r="O126" s="54"/>
      <c r="P126" s="54"/>
    </row>
    <row r="127" spans="1:17" x14ac:dyDescent="0.2">
      <c r="A127" s="55"/>
      <c r="B127" s="54"/>
      <c r="C127" s="56"/>
      <c r="D127" s="54"/>
      <c r="E127" s="56"/>
      <c r="F127" s="54"/>
      <c r="G127" s="56"/>
      <c r="H127" s="54"/>
      <c r="I127" s="652"/>
      <c r="J127" s="54"/>
      <c r="K127" s="652"/>
      <c r="L127" s="54"/>
      <c r="M127" s="652"/>
      <c r="N127" s="54"/>
      <c r="O127" s="54"/>
      <c r="P127" s="54"/>
    </row>
    <row r="128" spans="1:17" x14ac:dyDescent="0.2">
      <c r="A128" s="55"/>
      <c r="B128" s="54"/>
      <c r="C128" s="54"/>
      <c r="D128" s="54"/>
      <c r="E128" s="54"/>
      <c r="F128" s="54"/>
      <c r="G128" s="54"/>
      <c r="H128" s="54"/>
      <c r="I128" s="649"/>
      <c r="J128" s="54"/>
      <c r="K128" s="649"/>
      <c r="L128" s="54"/>
      <c r="M128" s="649"/>
      <c r="N128" s="54"/>
      <c r="O128" s="54"/>
      <c r="P128" s="54"/>
    </row>
    <row r="129" spans="1:17" x14ac:dyDescent="0.2">
      <c r="A129" s="55"/>
      <c r="B129" s="54"/>
      <c r="C129" s="56"/>
      <c r="D129" s="54"/>
      <c r="E129" s="56"/>
      <c r="F129" s="54"/>
      <c r="G129" s="56"/>
      <c r="H129" s="54"/>
      <c r="I129" s="652"/>
      <c r="J129" s="54"/>
      <c r="K129" s="652"/>
      <c r="L129" s="54"/>
      <c r="M129" s="652"/>
      <c r="N129" s="54"/>
      <c r="O129" s="54"/>
      <c r="P129" s="54"/>
    </row>
    <row r="130" spans="1:17" x14ac:dyDescent="0.2">
      <c r="A130" s="55"/>
      <c r="B130" s="54"/>
      <c r="C130" s="54"/>
      <c r="D130" s="54"/>
      <c r="E130" s="54"/>
      <c r="F130" s="54"/>
      <c r="G130" s="54"/>
      <c r="H130" s="54"/>
      <c r="I130" s="649"/>
      <c r="J130" s="54"/>
      <c r="K130" s="649"/>
      <c r="L130" s="54"/>
      <c r="M130" s="649"/>
      <c r="N130" s="54"/>
      <c r="O130" s="54"/>
      <c r="P130" s="54"/>
    </row>
    <row r="131" spans="1:17" x14ac:dyDescent="0.2">
      <c r="A131" s="55"/>
      <c r="B131" s="54"/>
      <c r="C131" s="54"/>
      <c r="D131" s="54"/>
      <c r="E131" s="54"/>
      <c r="F131" s="54"/>
      <c r="G131" s="54"/>
      <c r="H131" s="54"/>
      <c r="I131" s="649"/>
      <c r="J131" s="54"/>
      <c r="K131" s="649"/>
      <c r="L131" s="54"/>
      <c r="M131" s="649"/>
      <c r="N131" s="54"/>
      <c r="O131" s="54"/>
      <c r="P131" s="54"/>
    </row>
    <row r="132" spans="1:17" x14ac:dyDescent="0.2">
      <c r="A132" s="55"/>
      <c r="B132" s="54"/>
      <c r="C132" s="54"/>
      <c r="D132" s="54"/>
      <c r="E132" s="54"/>
      <c r="F132" s="54"/>
      <c r="G132" s="54"/>
      <c r="H132" s="54"/>
      <c r="I132" s="649"/>
      <c r="J132" s="54"/>
      <c r="K132" s="649"/>
      <c r="L132" s="54"/>
      <c r="M132" s="649"/>
      <c r="N132" s="54"/>
      <c r="O132" s="54"/>
      <c r="P132" s="54"/>
      <c r="Q132" s="57"/>
    </row>
    <row r="133" spans="1:17" x14ac:dyDescent="0.2">
      <c r="B133" s="25"/>
      <c r="C133" s="25"/>
      <c r="D133" s="25"/>
      <c r="E133" s="58"/>
      <c r="F133" s="58"/>
      <c r="G133" s="58"/>
      <c r="H133" s="58"/>
    </row>
    <row r="134" spans="1:17" x14ac:dyDescent="0.2">
      <c r="B134" s="25"/>
      <c r="C134" s="25"/>
      <c r="D134" s="25"/>
      <c r="E134" s="58"/>
      <c r="F134" s="58"/>
      <c r="G134" s="58"/>
      <c r="H134" s="58"/>
    </row>
    <row r="135" spans="1:17" x14ac:dyDescent="0.2">
      <c r="B135" s="25"/>
      <c r="C135" s="25"/>
      <c r="D135" s="25"/>
      <c r="E135" s="58"/>
      <c r="F135" s="58"/>
      <c r="G135" s="58"/>
      <c r="H135" s="58"/>
    </row>
    <row r="136" spans="1:17" x14ac:dyDescent="0.2">
      <c r="B136" s="25"/>
      <c r="C136" s="25"/>
      <c r="D136" s="25"/>
      <c r="E136" s="58"/>
      <c r="F136" s="58"/>
      <c r="G136" s="58"/>
      <c r="H136" s="58"/>
    </row>
    <row r="137" spans="1:17" x14ac:dyDescent="0.2">
      <c r="B137" s="25"/>
      <c r="C137" s="25"/>
      <c r="D137" s="25"/>
      <c r="E137" s="58"/>
      <c r="F137" s="58"/>
      <c r="G137" s="58"/>
      <c r="H137" s="58"/>
    </row>
    <row r="138" spans="1:17" x14ac:dyDescent="0.2">
      <c r="B138" s="25"/>
      <c r="C138" s="25"/>
      <c r="D138" s="25"/>
      <c r="E138" s="58"/>
      <c r="F138" s="58"/>
      <c r="G138" s="58"/>
      <c r="H138" s="58"/>
    </row>
    <row r="139" spans="1:17" x14ac:dyDescent="0.2">
      <c r="B139" s="25"/>
      <c r="C139" s="984"/>
      <c r="D139" s="25"/>
      <c r="E139" s="984"/>
      <c r="F139" s="58"/>
      <c r="G139" s="984"/>
      <c r="H139" s="58"/>
      <c r="I139" s="985"/>
      <c r="K139" s="985"/>
      <c r="M139" s="985"/>
    </row>
    <row r="140" spans="1:17" x14ac:dyDescent="0.2">
      <c r="B140" s="25"/>
      <c r="C140" s="25"/>
      <c r="D140" s="25"/>
      <c r="E140" s="58"/>
      <c r="F140" s="58"/>
      <c r="G140" s="58"/>
      <c r="H140" s="58"/>
    </row>
    <row r="141" spans="1:17" x14ac:dyDescent="0.2">
      <c r="B141" s="25"/>
      <c r="C141" s="25"/>
      <c r="D141" s="25"/>
      <c r="E141" s="58"/>
      <c r="F141" s="58"/>
      <c r="G141" s="58"/>
      <c r="H141" s="58"/>
    </row>
    <row r="142" spans="1:17" x14ac:dyDescent="0.2">
      <c r="B142" s="25"/>
      <c r="C142" s="25"/>
      <c r="D142" s="25"/>
      <c r="E142" s="58"/>
      <c r="F142" s="58"/>
      <c r="G142" s="58"/>
      <c r="H142" s="58"/>
    </row>
    <row r="143" spans="1:17" x14ac:dyDescent="0.2">
      <c r="B143" s="25"/>
      <c r="C143" s="25"/>
      <c r="D143" s="25"/>
      <c r="E143" s="58"/>
      <c r="F143" s="58"/>
      <c r="G143" s="58"/>
      <c r="H143" s="58"/>
    </row>
    <row r="144" spans="1:17" x14ac:dyDescent="0.2">
      <c r="B144" s="25"/>
      <c r="C144" s="25"/>
      <c r="D144" s="25"/>
      <c r="E144" s="58"/>
      <c r="F144" s="58"/>
      <c r="G144" s="58"/>
      <c r="H144" s="58"/>
    </row>
    <row r="145" spans="2:13" x14ac:dyDescent="0.2">
      <c r="B145" s="25"/>
      <c r="C145" s="25"/>
      <c r="D145" s="25"/>
      <c r="E145" s="58"/>
      <c r="F145" s="58"/>
      <c r="G145" s="58"/>
      <c r="H145" s="58"/>
    </row>
    <row r="146" spans="2:13" x14ac:dyDescent="0.2">
      <c r="B146" s="25"/>
      <c r="C146" s="25"/>
      <c r="D146" s="25"/>
      <c r="E146" s="58"/>
      <c r="F146" s="58"/>
      <c r="G146" s="58"/>
      <c r="H146" s="58"/>
    </row>
    <row r="147" spans="2:13" x14ac:dyDescent="0.2">
      <c r="B147" s="25"/>
      <c r="C147" s="25"/>
      <c r="D147" s="25"/>
      <c r="E147" s="58"/>
      <c r="F147" s="58"/>
      <c r="G147" s="58"/>
      <c r="H147" s="58"/>
    </row>
    <row r="148" spans="2:13" x14ac:dyDescent="0.2">
      <c r="B148" s="25"/>
      <c r="C148" s="25"/>
      <c r="D148" s="25"/>
      <c r="E148" s="58"/>
      <c r="F148" s="58"/>
      <c r="G148" s="58"/>
      <c r="H148" s="58"/>
    </row>
    <row r="149" spans="2:13" x14ac:dyDescent="0.2">
      <c r="B149" s="25"/>
      <c r="C149" s="25"/>
      <c r="D149" s="25"/>
      <c r="E149" s="58"/>
      <c r="F149" s="58"/>
      <c r="G149" s="58"/>
      <c r="H149" s="58"/>
    </row>
    <row r="150" spans="2:13" x14ac:dyDescent="0.2">
      <c r="B150" s="25"/>
      <c r="C150" s="25"/>
      <c r="D150" s="25"/>
      <c r="E150" s="58"/>
      <c r="F150" s="58"/>
      <c r="G150" s="58"/>
      <c r="H150" s="58"/>
    </row>
    <row r="151" spans="2:13" x14ac:dyDescent="0.2">
      <c r="B151" s="25"/>
      <c r="C151" s="25"/>
      <c r="D151" s="25"/>
      <c r="E151" s="58"/>
      <c r="F151" s="58"/>
      <c r="G151" s="58"/>
      <c r="H151" s="58"/>
    </row>
    <row r="152" spans="2:13" x14ac:dyDescent="0.2">
      <c r="B152" s="25"/>
      <c r="C152" s="984"/>
      <c r="D152" s="25"/>
      <c r="E152" s="984"/>
      <c r="F152" s="58"/>
      <c r="G152" s="984"/>
      <c r="H152" s="58"/>
      <c r="I152" s="985"/>
      <c r="K152" s="985"/>
      <c r="M152" s="985"/>
    </row>
    <row r="153" spans="2:13" x14ac:dyDescent="0.2">
      <c r="B153" s="25"/>
      <c r="C153" s="25"/>
      <c r="D153" s="25"/>
      <c r="E153" s="58"/>
      <c r="F153" s="58"/>
      <c r="G153" s="58"/>
      <c r="H153" s="58"/>
    </row>
    <row r="154" spans="2:13" x14ac:dyDescent="0.2">
      <c r="B154" s="25"/>
      <c r="C154" s="25"/>
      <c r="D154" s="25"/>
      <c r="E154" s="58"/>
      <c r="F154" s="58"/>
      <c r="G154" s="58"/>
      <c r="H154" s="58"/>
    </row>
    <row r="155" spans="2:13" x14ac:dyDescent="0.2">
      <c r="B155" s="25"/>
      <c r="C155" s="25"/>
      <c r="D155" s="25"/>
      <c r="E155" s="58"/>
      <c r="F155" s="58"/>
      <c r="G155" s="58"/>
      <c r="H155" s="58"/>
    </row>
    <row r="156" spans="2:13" x14ac:dyDescent="0.2">
      <c r="B156" s="25"/>
      <c r="C156" s="25"/>
      <c r="D156" s="25"/>
      <c r="E156" s="58"/>
      <c r="F156" s="58"/>
      <c r="G156" s="58"/>
      <c r="H156" s="58"/>
    </row>
    <row r="157" spans="2:13" x14ac:dyDescent="0.2">
      <c r="B157" s="25"/>
      <c r="C157" s="25"/>
      <c r="D157" s="25"/>
      <c r="E157" s="58"/>
      <c r="F157" s="58"/>
      <c r="G157" s="58"/>
      <c r="H157" s="58"/>
    </row>
    <row r="158" spans="2:13" x14ac:dyDescent="0.2">
      <c r="B158" s="25"/>
      <c r="C158" s="25"/>
      <c r="D158" s="25"/>
      <c r="E158" s="58"/>
      <c r="F158" s="58"/>
      <c r="G158" s="58"/>
      <c r="H158" s="58"/>
    </row>
    <row r="159" spans="2:13" x14ac:dyDescent="0.2">
      <c r="B159" s="25"/>
      <c r="C159" s="25"/>
      <c r="D159" s="25"/>
      <c r="E159" s="58"/>
      <c r="F159" s="58"/>
      <c r="G159" s="58"/>
      <c r="H159" s="58"/>
    </row>
    <row r="160" spans="2:13" x14ac:dyDescent="0.2">
      <c r="B160" s="25"/>
      <c r="C160" s="25"/>
      <c r="D160" s="25"/>
      <c r="E160" s="58"/>
      <c r="F160" s="58"/>
      <c r="G160" s="58"/>
      <c r="H160" s="58"/>
    </row>
    <row r="161" spans="2:13" x14ac:dyDescent="0.2">
      <c r="B161" s="25"/>
      <c r="C161" s="25"/>
      <c r="D161" s="25"/>
      <c r="E161" s="58"/>
      <c r="F161" s="58"/>
      <c r="G161" s="58"/>
      <c r="H161" s="58"/>
    </row>
    <row r="162" spans="2:13" x14ac:dyDescent="0.2">
      <c r="B162" s="25"/>
    </row>
    <row r="163" spans="2:13" x14ac:dyDescent="0.2">
      <c r="B163" s="25"/>
    </row>
    <row r="164" spans="2:13" x14ac:dyDescent="0.2">
      <c r="B164" s="25"/>
    </row>
    <row r="165" spans="2:13" x14ac:dyDescent="0.2">
      <c r="B165" s="25"/>
      <c r="C165" s="985"/>
      <c r="E165" s="985"/>
      <c r="G165" s="985"/>
      <c r="I165" s="985"/>
      <c r="K165" s="985"/>
      <c r="M165" s="985"/>
    </row>
    <row r="166" spans="2:13" x14ac:dyDescent="0.2">
      <c r="B166" s="25"/>
    </row>
    <row r="167" spans="2:13" x14ac:dyDescent="0.2">
      <c r="B167" s="25"/>
    </row>
    <row r="168" spans="2:13" x14ac:dyDescent="0.2">
      <c r="B168" s="25"/>
    </row>
    <row r="169" spans="2:13" x14ac:dyDescent="0.2">
      <c r="B169" s="25"/>
    </row>
    <row r="170" spans="2:13" x14ac:dyDescent="0.2">
      <c r="B170" s="25"/>
    </row>
    <row r="171" spans="2:13" x14ac:dyDescent="0.2">
      <c r="B171" s="25"/>
    </row>
    <row r="172" spans="2:13" x14ac:dyDescent="0.2">
      <c r="B172" s="25"/>
    </row>
    <row r="173" spans="2:13" x14ac:dyDescent="0.2">
      <c r="B173" s="25"/>
    </row>
    <row r="174" spans="2:13" x14ac:dyDescent="0.2">
      <c r="B174" s="25"/>
    </row>
    <row r="175" spans="2:13" x14ac:dyDescent="0.2">
      <c r="B175" s="25"/>
    </row>
    <row r="176" spans="2:13" x14ac:dyDescent="0.2">
      <c r="B176" s="25"/>
    </row>
    <row r="177" spans="2:13" x14ac:dyDescent="0.2">
      <c r="B177" s="25"/>
    </row>
    <row r="178" spans="2:13" x14ac:dyDescent="0.2">
      <c r="B178" s="25"/>
      <c r="C178" s="985"/>
      <c r="E178" s="985"/>
      <c r="G178" s="985"/>
      <c r="I178" s="985"/>
      <c r="K178" s="985"/>
      <c r="M178" s="985"/>
    </row>
  </sheetData>
  <mergeCells count="12">
    <mergeCell ref="A120:N120"/>
    <mergeCell ref="A121:N121"/>
    <mergeCell ref="A122:N122"/>
    <mergeCell ref="A123:N123"/>
    <mergeCell ref="A124:N124"/>
    <mergeCell ref="A118:N118"/>
    <mergeCell ref="A119:N119"/>
    <mergeCell ref="K2:K3"/>
    <mergeCell ref="A113:N113"/>
    <mergeCell ref="A114:N114"/>
    <mergeCell ref="A115:N115"/>
    <mergeCell ref="A117:N117"/>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79" fitToHeight="99" pageOrder="overThenDown" orientation="portrait" blackAndWhite="1" cellComments="asDisplayed" r:id="rId1"/>
  <headerFooter alignWithMargins="0"/>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4">
    <pageSetUpPr fitToPage="1"/>
  </sheetPr>
  <dimension ref="A1:Q9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9.57031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19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909"/>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1060</v>
      </c>
      <c r="C3" s="10" t="s">
        <v>1061</v>
      </c>
      <c r="D3" s="6"/>
      <c r="E3" s="11"/>
      <c r="F3" s="9"/>
      <c r="G3" s="11"/>
      <c r="H3" s="6"/>
      <c r="I3" s="11"/>
      <c r="J3" s="6"/>
      <c r="K3" s="1734"/>
      <c r="L3" s="6"/>
      <c r="M3" s="11"/>
      <c r="N3" s="6"/>
    </row>
    <row r="4" spans="1:16" s="4" customFormat="1" ht="15.75" x14ac:dyDescent="0.25">
      <c r="A4" s="1" t="s">
        <v>180</v>
      </c>
      <c r="B4" s="10" t="s">
        <v>341</v>
      </c>
      <c r="C4" s="10" t="s">
        <v>4</v>
      </c>
      <c r="D4" s="6"/>
      <c r="E4" s="11"/>
      <c r="F4" s="9"/>
      <c r="G4" s="11"/>
      <c r="H4" s="6"/>
      <c r="I4" s="11"/>
      <c r="J4" s="6"/>
      <c r="K4" s="909"/>
      <c r="L4" s="6"/>
      <c r="M4" s="11"/>
      <c r="N4" s="6"/>
    </row>
    <row r="5" spans="1:16" s="4" customFormat="1" ht="15.75" x14ac:dyDescent="0.2">
      <c r="A5" s="1" t="s">
        <v>183</v>
      </c>
      <c r="B5" s="12" t="s">
        <v>1352</v>
      </c>
      <c r="C5" s="12" t="s">
        <v>34</v>
      </c>
      <c r="D5" s="13"/>
      <c r="E5" s="14"/>
      <c r="G5" s="14"/>
      <c r="I5" s="14"/>
      <c r="K5" s="986"/>
      <c r="M5" s="14"/>
    </row>
    <row r="6" spans="1:16" s="4" customFormat="1" ht="15.75" x14ac:dyDescent="0.25">
      <c r="A6" s="15" t="s">
        <v>186</v>
      </c>
      <c r="B6" s="16">
        <v>4</v>
      </c>
      <c r="C6" s="17"/>
      <c r="D6" s="18"/>
      <c r="E6" s="19"/>
      <c r="F6" s="9"/>
      <c r="G6" s="8"/>
      <c r="H6" s="6"/>
      <c r="I6" s="8"/>
      <c r="J6" s="6"/>
      <c r="K6" s="909"/>
      <c r="L6" s="6"/>
      <c r="M6" s="8"/>
      <c r="N6" s="6"/>
    </row>
    <row r="7" spans="1:16" s="24" customFormat="1" x14ac:dyDescent="0.2">
      <c r="A7" s="20"/>
      <c r="B7" s="21"/>
      <c r="C7" s="22"/>
      <c r="D7" s="23"/>
      <c r="E7" s="22"/>
      <c r="F7" s="23"/>
      <c r="G7" s="22"/>
      <c r="H7" s="23"/>
      <c r="I7" s="22"/>
      <c r="J7" s="23"/>
      <c r="K7" s="987" t="s">
        <v>187</v>
      </c>
      <c r="L7" s="23"/>
      <c r="M7" s="22" t="s">
        <v>187</v>
      </c>
      <c r="N7" s="23"/>
    </row>
    <row r="8" spans="1:16" x14ac:dyDescent="0.2">
      <c r="C8" s="27" t="s">
        <v>188</v>
      </c>
      <c r="D8" s="28" t="s">
        <v>189</v>
      </c>
      <c r="E8" s="27" t="s">
        <v>188</v>
      </c>
      <c r="F8" s="28" t="s">
        <v>189</v>
      </c>
      <c r="G8" s="27" t="s">
        <v>190</v>
      </c>
      <c r="H8" s="28" t="s">
        <v>189</v>
      </c>
      <c r="I8" s="27" t="s">
        <v>191</v>
      </c>
      <c r="J8" s="28" t="s">
        <v>189</v>
      </c>
      <c r="K8" s="988"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989" t="str">
        <f>"FY " &amp; FiscalYear</f>
        <v>FY 2019</v>
      </c>
      <c r="L9" s="33" t="s">
        <v>193</v>
      </c>
      <c r="M9" s="34" t="str">
        <f>"FY " &amp; FiscalYear + 1</f>
        <v>FY 2020</v>
      </c>
      <c r="N9" s="33" t="s">
        <v>193</v>
      </c>
    </row>
    <row r="10" spans="1:16" s="37" customFormat="1" x14ac:dyDescent="0.2">
      <c r="A10" s="35" t="s">
        <v>659</v>
      </c>
      <c r="B10" s="36"/>
      <c r="C10" s="73"/>
      <c r="E10" s="73"/>
      <c r="I10" s="73"/>
      <c r="K10" s="73"/>
    </row>
    <row r="11" spans="1:16" s="37" customFormat="1" x14ac:dyDescent="0.2">
      <c r="A11" s="35" t="s">
        <v>1353</v>
      </c>
      <c r="B11" s="36"/>
      <c r="C11" s="1709"/>
      <c r="E11" s="1709"/>
      <c r="G11" s="108"/>
      <c r="I11" s="1709"/>
      <c r="K11" s="1709"/>
      <c r="M11" s="108"/>
    </row>
    <row r="12" spans="1:16" s="40" customFormat="1" hidden="1" x14ac:dyDescent="0.2">
      <c r="A12" s="41" t="s">
        <v>1354</v>
      </c>
      <c r="B12" s="39"/>
      <c r="C12" s="74"/>
      <c r="E12" s="74"/>
      <c r="I12" s="74"/>
      <c r="K12" s="74"/>
      <c r="M12" s="76"/>
    </row>
    <row r="13" spans="1:16" s="40" customFormat="1" hidden="1" x14ac:dyDescent="0.2">
      <c r="A13" s="90" t="s">
        <v>1355</v>
      </c>
      <c r="B13" s="39"/>
      <c r="C13" s="74"/>
      <c r="E13" s="74"/>
      <c r="I13" s="74"/>
      <c r="K13" s="74"/>
      <c r="M13" s="76"/>
    </row>
    <row r="14" spans="1:16" s="40" customFormat="1" hidden="1" x14ac:dyDescent="0.2">
      <c r="A14" s="90" t="s">
        <v>1356</v>
      </c>
      <c r="B14" s="39"/>
      <c r="C14" s="74"/>
      <c r="E14" s="74"/>
      <c r="I14" s="74"/>
      <c r="K14" s="74"/>
      <c r="M14" s="76"/>
    </row>
    <row r="15" spans="1:16" s="40" customFormat="1" hidden="1" x14ac:dyDescent="0.2">
      <c r="A15" s="90" t="s">
        <v>1357</v>
      </c>
      <c r="B15" s="39"/>
      <c r="C15" s="74"/>
      <c r="E15" s="74"/>
      <c r="I15" s="74"/>
      <c r="K15" s="74"/>
      <c r="M15" s="76"/>
    </row>
    <row r="16" spans="1:16" s="40" customFormat="1" hidden="1" x14ac:dyDescent="0.2">
      <c r="A16" s="90" t="s">
        <v>1358</v>
      </c>
      <c r="B16" s="39"/>
      <c r="C16" s="74"/>
      <c r="E16" s="74"/>
      <c r="I16" s="74"/>
      <c r="K16" s="74"/>
      <c r="M16" s="76"/>
    </row>
    <row r="17" spans="1:17" s="40" customFormat="1" hidden="1" x14ac:dyDescent="0.2">
      <c r="A17" s="90" t="s">
        <v>1359</v>
      </c>
      <c r="B17" s="39"/>
      <c r="C17" s="74"/>
      <c r="E17" s="74"/>
      <c r="I17" s="74"/>
      <c r="K17" s="74"/>
      <c r="M17" s="76"/>
    </row>
    <row r="18" spans="1:17" s="40" customFormat="1" hidden="1" x14ac:dyDescent="0.2">
      <c r="A18" s="90" t="s">
        <v>1360</v>
      </c>
      <c r="B18" s="39"/>
      <c r="C18" s="74"/>
      <c r="E18" s="74"/>
      <c r="I18" s="74"/>
      <c r="K18" s="74"/>
      <c r="M18" s="76"/>
      <c r="O18" s="40" t="s">
        <v>352</v>
      </c>
    </row>
    <row r="19" spans="1:17" s="40" customFormat="1" x14ac:dyDescent="0.2">
      <c r="A19" s="41" t="s">
        <v>1361</v>
      </c>
      <c r="B19" s="39"/>
      <c r="C19" s="78">
        <v>479</v>
      </c>
      <c r="D19" s="77"/>
      <c r="E19" s="78">
        <v>373</v>
      </c>
      <c r="F19" s="77"/>
      <c r="G19" s="77">
        <v>500</v>
      </c>
      <c r="I19" s="78">
        <v>426</v>
      </c>
      <c r="K19" s="78">
        <v>426</v>
      </c>
      <c r="M19" s="76"/>
    </row>
    <row r="20" spans="1:17" s="40" customFormat="1" x14ac:dyDescent="0.2">
      <c r="A20" s="41" t="s">
        <v>1362</v>
      </c>
      <c r="B20" s="39"/>
      <c r="C20" s="78">
        <v>400</v>
      </c>
      <c r="D20" s="77"/>
      <c r="E20" s="78">
        <v>351</v>
      </c>
      <c r="F20" s="77"/>
      <c r="G20" s="77">
        <v>400</v>
      </c>
      <c r="H20" s="77"/>
      <c r="I20" s="78">
        <v>375</v>
      </c>
      <c r="J20" s="77"/>
      <c r="K20" s="78">
        <v>375</v>
      </c>
      <c r="M20" s="77"/>
      <c r="N20" s="77"/>
      <c r="O20" s="77"/>
    </row>
    <row r="21" spans="1:17" s="40" customFormat="1" x14ac:dyDescent="0.2">
      <c r="A21" s="41" t="s">
        <v>1363</v>
      </c>
      <c r="B21" s="39"/>
      <c r="C21" s="78">
        <v>190</v>
      </c>
      <c r="D21" s="77"/>
      <c r="E21" s="78">
        <v>128</v>
      </c>
      <c r="F21" s="77"/>
      <c r="G21" s="77">
        <v>190</v>
      </c>
      <c r="H21" s="77"/>
      <c r="I21" s="78">
        <v>159</v>
      </c>
      <c r="J21" s="77"/>
      <c r="K21" s="78">
        <v>159</v>
      </c>
      <c r="M21" s="77"/>
      <c r="N21" s="77"/>
      <c r="O21" s="77"/>
    </row>
    <row r="22" spans="1:17" s="40" customFormat="1" x14ac:dyDescent="0.2">
      <c r="A22" s="41" t="s">
        <v>1364</v>
      </c>
      <c r="B22" s="39"/>
      <c r="C22" s="78">
        <v>856</v>
      </c>
      <c r="D22" s="77"/>
      <c r="E22" s="78">
        <v>835</v>
      </c>
      <c r="F22" s="77"/>
      <c r="G22" s="77">
        <v>791</v>
      </c>
      <c r="H22" s="77"/>
      <c r="I22" s="78">
        <v>845</v>
      </c>
      <c r="J22" s="77"/>
      <c r="K22" s="78">
        <v>845</v>
      </c>
      <c r="M22" s="77"/>
      <c r="N22" s="77"/>
      <c r="O22" s="143"/>
    </row>
    <row r="23" spans="1:17" s="40" customFormat="1" x14ac:dyDescent="0.2">
      <c r="A23" s="41"/>
      <c r="B23" s="39"/>
      <c r="C23" s="78"/>
      <c r="D23" s="77"/>
      <c r="E23" s="78"/>
      <c r="F23" s="77"/>
      <c r="G23" s="77"/>
      <c r="H23" s="77"/>
      <c r="I23" s="78"/>
      <c r="J23" s="77"/>
      <c r="K23" s="78"/>
      <c r="M23" s="77"/>
      <c r="N23" s="77"/>
      <c r="O23" s="77"/>
    </row>
    <row r="24" spans="1:17" s="40" customFormat="1" x14ac:dyDescent="0.2">
      <c r="A24" s="90"/>
      <c r="B24" s="39"/>
      <c r="C24" s="78"/>
      <c r="D24" s="77"/>
      <c r="E24" s="78"/>
      <c r="F24" s="77"/>
      <c r="G24" s="77"/>
      <c r="H24" s="77"/>
      <c r="I24" s="78"/>
      <c r="J24" s="77"/>
      <c r="K24" s="78"/>
      <c r="M24" s="77"/>
      <c r="N24" s="77"/>
      <c r="O24" s="77"/>
    </row>
    <row r="25" spans="1:17" s="37" customFormat="1" x14ac:dyDescent="0.2">
      <c r="A25" s="35" t="s">
        <v>194</v>
      </c>
      <c r="B25" s="36"/>
      <c r="C25" s="78"/>
      <c r="D25" s="77"/>
      <c r="E25" s="78"/>
      <c r="F25" s="77"/>
      <c r="G25" s="77"/>
      <c r="H25" s="77"/>
      <c r="I25" s="78"/>
      <c r="J25" s="77"/>
      <c r="K25" s="78"/>
      <c r="M25" s="77"/>
      <c r="N25" s="77"/>
      <c r="O25" s="77"/>
    </row>
    <row r="26" spans="1:17" s="37" customFormat="1" x14ac:dyDescent="0.2">
      <c r="A26" s="35" t="s">
        <v>195</v>
      </c>
      <c r="B26" s="36"/>
      <c r="C26" s="73"/>
      <c r="E26" s="73"/>
      <c r="I26" s="73"/>
      <c r="K26" s="73"/>
    </row>
    <row r="27" spans="1:17" s="40" customFormat="1" x14ac:dyDescent="0.2">
      <c r="A27" s="38" t="s">
        <v>196</v>
      </c>
      <c r="B27" s="39"/>
      <c r="C27" s="78"/>
      <c r="D27" s="77"/>
      <c r="E27" s="78"/>
      <c r="I27" s="78"/>
      <c r="K27" s="78"/>
    </row>
    <row r="28" spans="1:17" s="40" customFormat="1" x14ac:dyDescent="0.2">
      <c r="A28" s="41" t="s">
        <v>197</v>
      </c>
      <c r="B28" s="39"/>
      <c r="C28" s="78">
        <v>5</v>
      </c>
      <c r="D28" s="77"/>
      <c r="E28" s="78">
        <v>4</v>
      </c>
      <c r="F28" s="77"/>
      <c r="G28" s="77">
        <v>5</v>
      </c>
      <c r="H28" s="77"/>
      <c r="I28" s="78">
        <v>5</v>
      </c>
      <c r="J28" s="77"/>
      <c r="K28" s="78">
        <v>5</v>
      </c>
      <c r="M28" s="76"/>
      <c r="Q28" s="40" t="s">
        <v>352</v>
      </c>
    </row>
    <row r="29" spans="1:17" s="40" customFormat="1" x14ac:dyDescent="0.2">
      <c r="A29" s="41" t="s">
        <v>198</v>
      </c>
      <c r="B29" s="39"/>
      <c r="C29" s="78">
        <f>C28</f>
        <v>5</v>
      </c>
      <c r="D29" s="77"/>
      <c r="E29" s="78">
        <v>4</v>
      </c>
      <c r="F29" s="77"/>
      <c r="G29" s="77">
        <v>5</v>
      </c>
      <c r="H29" s="77"/>
      <c r="I29" s="78">
        <v>5</v>
      </c>
      <c r="J29" s="77"/>
      <c r="K29" s="78">
        <v>5</v>
      </c>
      <c r="M29" s="76"/>
    </row>
    <row r="30" spans="1:17" s="40" customFormat="1" x14ac:dyDescent="0.2">
      <c r="A30" s="38" t="s">
        <v>199</v>
      </c>
      <c r="B30" s="39"/>
      <c r="C30" s="78"/>
      <c r="D30" s="77"/>
      <c r="E30" s="78"/>
      <c r="F30" s="77"/>
      <c r="G30" s="77"/>
      <c r="H30" s="77"/>
      <c r="I30" s="78"/>
      <c r="J30" s="77"/>
      <c r="K30" s="78"/>
      <c r="M30" s="76"/>
    </row>
    <row r="31" spans="1:17" s="40" customFormat="1" x14ac:dyDescent="0.2">
      <c r="A31" s="41" t="s">
        <v>1353</v>
      </c>
      <c r="B31" s="39"/>
      <c r="C31" s="78">
        <v>5</v>
      </c>
      <c r="D31" s="77"/>
      <c r="E31" s="78">
        <v>4</v>
      </c>
      <c r="F31" s="77"/>
      <c r="G31" s="77">
        <v>5</v>
      </c>
      <c r="H31" s="77"/>
      <c r="I31" s="78">
        <v>5</v>
      </c>
      <c r="J31" s="77"/>
      <c r="K31" s="78">
        <v>5</v>
      </c>
      <c r="M31" s="76"/>
    </row>
    <row r="32" spans="1:17" s="40" customFormat="1" x14ac:dyDescent="0.2">
      <c r="A32" s="41" t="s">
        <v>198</v>
      </c>
      <c r="B32" s="39"/>
      <c r="C32" s="78">
        <f>C31</f>
        <v>5</v>
      </c>
      <c r="D32" s="77"/>
      <c r="E32" s="78">
        <v>4</v>
      </c>
      <c r="F32" s="77"/>
      <c r="G32" s="77">
        <v>5</v>
      </c>
      <c r="H32" s="77"/>
      <c r="I32" s="78">
        <v>5</v>
      </c>
      <c r="J32" s="77"/>
      <c r="K32" s="78">
        <v>5</v>
      </c>
      <c r="M32" s="76"/>
    </row>
    <row r="33" spans="1:17" s="37" customFormat="1" x14ac:dyDescent="0.2">
      <c r="A33" s="35"/>
      <c r="B33" s="36"/>
      <c r="C33" s="89"/>
      <c r="D33" s="89"/>
      <c r="E33" s="89"/>
      <c r="F33" s="89"/>
      <c r="G33" s="89"/>
      <c r="H33" s="89"/>
      <c r="I33" s="89"/>
      <c r="J33" s="89"/>
      <c r="K33" s="89"/>
    </row>
    <row r="34" spans="1:17" s="48" customFormat="1" x14ac:dyDescent="0.2">
      <c r="A34" s="46"/>
      <c r="B34" s="47"/>
    </row>
    <row r="35" spans="1:17" s="48" customFormat="1" x14ac:dyDescent="0.2">
      <c r="A35" s="49" t="s">
        <v>200</v>
      </c>
      <c r="B35" s="50"/>
      <c r="C35" s="51"/>
      <c r="D35" s="52"/>
      <c r="E35" s="53"/>
      <c r="F35" s="52"/>
      <c r="G35" s="53"/>
      <c r="H35" s="52"/>
      <c r="I35" s="53"/>
      <c r="J35" s="52"/>
      <c r="K35" s="990"/>
      <c r="L35" s="52"/>
      <c r="M35" s="51"/>
      <c r="N35" s="52"/>
    </row>
    <row r="36" spans="1:17" ht="27.75" customHeight="1" x14ac:dyDescent="0.2">
      <c r="A36" s="1738" t="s">
        <v>218</v>
      </c>
      <c r="B36" s="1736"/>
      <c r="C36" s="1737"/>
      <c r="D36" s="1736"/>
      <c r="E36" s="1737"/>
      <c r="F36" s="1736"/>
      <c r="G36" s="1737"/>
      <c r="H36" s="1736"/>
      <c r="I36" s="1737"/>
      <c r="J36" s="1736"/>
      <c r="K36" s="1737"/>
      <c r="L36" s="1736"/>
      <c r="M36" s="1737"/>
      <c r="N36" s="1736"/>
      <c r="O36" s="54"/>
      <c r="P36" s="54"/>
      <c r="Q36" s="951"/>
    </row>
    <row r="37" spans="1:17" ht="27.75" customHeight="1" x14ac:dyDescent="0.2">
      <c r="A37" s="1738"/>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ht="27.75" customHeight="1" x14ac:dyDescent="0.2">
      <c r="A39" s="1735"/>
      <c r="B39" s="1736"/>
      <c r="C39" s="1737"/>
      <c r="D39" s="1736"/>
      <c r="E39" s="1737"/>
      <c r="F39" s="1736"/>
      <c r="G39" s="1737"/>
      <c r="H39" s="1736"/>
      <c r="I39" s="1737"/>
      <c r="J39" s="1736"/>
      <c r="K39" s="1737"/>
      <c r="L39" s="1736"/>
      <c r="M39" s="1737"/>
      <c r="N39" s="1736"/>
      <c r="O39" s="54"/>
      <c r="P39" s="54"/>
    </row>
    <row r="40" spans="1:17" ht="27.75" customHeight="1" x14ac:dyDescent="0.2">
      <c r="A40" s="1735"/>
      <c r="B40" s="1736"/>
      <c r="C40" s="1737"/>
      <c r="D40" s="1736"/>
      <c r="E40" s="1737"/>
      <c r="F40" s="1736"/>
      <c r="G40" s="1737"/>
      <c r="H40" s="1736"/>
      <c r="I40" s="1737"/>
      <c r="J40" s="1736"/>
      <c r="K40" s="1737"/>
      <c r="L40" s="1736"/>
      <c r="M40" s="1737"/>
      <c r="N40" s="1736"/>
      <c r="O40" s="54"/>
      <c r="P40" s="54"/>
    </row>
    <row r="41" spans="1:17" ht="27.75" customHeight="1" x14ac:dyDescent="0.2">
      <c r="A41" s="1735"/>
      <c r="B41" s="1736"/>
      <c r="C41" s="1737"/>
      <c r="D41" s="1736"/>
      <c r="E41" s="1737"/>
      <c r="F41" s="1736"/>
      <c r="G41" s="1737"/>
      <c r="H41" s="1736"/>
      <c r="I41" s="1737"/>
      <c r="J41" s="1736"/>
      <c r="K41" s="1737"/>
      <c r="L41" s="1736"/>
      <c r="M41" s="1737"/>
      <c r="N41" s="1736"/>
      <c r="O41" s="54"/>
      <c r="P41" s="54"/>
    </row>
    <row r="42" spans="1:17" ht="27.75" customHeight="1" x14ac:dyDescent="0.2">
      <c r="A42" s="1735"/>
      <c r="B42" s="1736"/>
      <c r="C42" s="1737"/>
      <c r="D42" s="1736"/>
      <c r="E42" s="1737"/>
      <c r="F42" s="1736"/>
      <c r="G42" s="1737"/>
      <c r="H42" s="1736"/>
      <c r="I42" s="1737"/>
      <c r="J42" s="1736"/>
      <c r="K42" s="1737"/>
      <c r="L42" s="1736"/>
      <c r="M42" s="1737"/>
      <c r="N42" s="1736"/>
      <c r="O42" s="54"/>
      <c r="P42" s="54"/>
    </row>
    <row r="43" spans="1:17" ht="27.75" customHeight="1" x14ac:dyDescent="0.2">
      <c r="A43" s="1735"/>
      <c r="B43" s="1736"/>
      <c r="C43" s="1737"/>
      <c r="D43" s="1736"/>
      <c r="E43" s="1737"/>
      <c r="F43" s="1736"/>
      <c r="G43" s="1737"/>
      <c r="H43" s="1736"/>
      <c r="I43" s="1737"/>
      <c r="J43" s="1736"/>
      <c r="K43" s="1737"/>
      <c r="L43" s="1736"/>
      <c r="M43" s="1737"/>
      <c r="N43" s="1736"/>
      <c r="O43" s="54"/>
      <c r="P43" s="54"/>
    </row>
    <row r="44" spans="1:17" ht="27.75" customHeight="1" x14ac:dyDescent="0.2">
      <c r="A44" s="1735"/>
      <c r="B44" s="1736"/>
      <c r="C44" s="1737"/>
      <c r="D44" s="1736"/>
      <c r="E44" s="1737"/>
      <c r="F44" s="1736"/>
      <c r="G44" s="1737"/>
      <c r="H44" s="1736"/>
      <c r="I44" s="1737"/>
      <c r="J44" s="1736"/>
      <c r="K44" s="1737"/>
      <c r="L44" s="1736"/>
      <c r="M44" s="1737"/>
      <c r="N44" s="1736"/>
      <c r="O44" s="54"/>
      <c r="P44" s="54"/>
    </row>
    <row r="45" spans="1:17" ht="27.75" customHeight="1" x14ac:dyDescent="0.2">
      <c r="A45" s="1735"/>
      <c r="B45" s="1736"/>
      <c r="C45" s="1737"/>
      <c r="D45" s="1736"/>
      <c r="E45" s="1737"/>
      <c r="F45" s="1736"/>
      <c r="G45" s="1737"/>
      <c r="H45" s="1736"/>
      <c r="I45" s="1737"/>
      <c r="J45" s="1736"/>
      <c r="K45" s="1737"/>
      <c r="L45" s="1736"/>
      <c r="M45" s="1737"/>
      <c r="N45" s="1736"/>
      <c r="O45" s="54"/>
      <c r="P45" s="54"/>
    </row>
    <row r="46" spans="1:17" x14ac:dyDescent="0.2">
      <c r="A46" s="55"/>
      <c r="B46" s="54"/>
      <c r="C46" s="56"/>
      <c r="D46" s="54"/>
      <c r="E46" s="56"/>
      <c r="F46" s="54"/>
      <c r="G46" s="56"/>
      <c r="H46" s="54"/>
      <c r="I46" s="56"/>
      <c r="J46" s="54"/>
      <c r="K46" s="991"/>
      <c r="L46" s="54"/>
      <c r="M46" s="56"/>
      <c r="N46" s="54"/>
      <c r="O46" s="54"/>
      <c r="P46" s="54"/>
    </row>
    <row r="47" spans="1:17" x14ac:dyDescent="0.2">
      <c r="A47" s="55"/>
      <c r="B47" s="54"/>
      <c r="C47" s="54"/>
      <c r="D47" s="54"/>
      <c r="E47" s="54"/>
      <c r="F47" s="54"/>
      <c r="G47" s="54"/>
      <c r="H47" s="54"/>
      <c r="I47" s="54"/>
      <c r="J47" s="54"/>
      <c r="K47" s="991"/>
      <c r="L47" s="54"/>
      <c r="M47" s="54"/>
      <c r="N47" s="54"/>
      <c r="O47" s="54"/>
      <c r="P47" s="54"/>
    </row>
    <row r="48" spans="1:17" x14ac:dyDescent="0.2">
      <c r="A48" s="55"/>
      <c r="B48" s="54"/>
      <c r="C48" s="56"/>
      <c r="D48" s="54"/>
      <c r="E48" s="56"/>
      <c r="F48" s="54"/>
      <c r="G48" s="56"/>
      <c r="H48" s="54"/>
      <c r="I48" s="56"/>
      <c r="J48" s="54"/>
      <c r="K48" s="991"/>
      <c r="L48" s="54"/>
      <c r="M48" s="56"/>
      <c r="N48" s="54"/>
      <c r="O48" s="54"/>
      <c r="P48" s="54"/>
    </row>
    <row r="49" spans="1:17" x14ac:dyDescent="0.2">
      <c r="A49" s="55"/>
      <c r="B49" s="54"/>
      <c r="C49" s="54"/>
      <c r="D49" s="54"/>
      <c r="E49" s="54"/>
      <c r="F49" s="54"/>
      <c r="G49" s="54"/>
      <c r="H49" s="54"/>
      <c r="I49" s="54"/>
      <c r="J49" s="54"/>
      <c r="K49" s="991"/>
      <c r="L49" s="54"/>
      <c r="M49" s="54"/>
      <c r="N49" s="54"/>
      <c r="O49" s="54"/>
      <c r="P49" s="54"/>
    </row>
    <row r="50" spans="1:17" x14ac:dyDescent="0.2">
      <c r="A50" s="55"/>
      <c r="B50" s="54"/>
      <c r="C50" s="56"/>
      <c r="D50" s="54"/>
      <c r="E50" s="56"/>
      <c r="F50" s="54"/>
      <c r="G50" s="56"/>
      <c r="H50" s="54"/>
      <c r="I50" s="56"/>
      <c r="J50" s="54"/>
      <c r="K50" s="991"/>
      <c r="L50" s="54"/>
      <c r="M50" s="56"/>
      <c r="N50" s="54"/>
      <c r="O50" s="54"/>
      <c r="P50" s="54"/>
    </row>
    <row r="51" spans="1:17" x14ac:dyDescent="0.2">
      <c r="A51" s="55"/>
      <c r="B51" s="54"/>
      <c r="C51" s="54"/>
      <c r="D51" s="54"/>
      <c r="E51" s="54"/>
      <c r="F51" s="54"/>
      <c r="G51" s="54"/>
      <c r="H51" s="54"/>
      <c r="I51" s="54"/>
      <c r="J51" s="54"/>
      <c r="K51" s="991"/>
      <c r="L51" s="54"/>
      <c r="M51" s="54"/>
      <c r="N51" s="54"/>
      <c r="O51" s="54"/>
      <c r="P51" s="54"/>
    </row>
    <row r="52" spans="1:17" x14ac:dyDescent="0.2">
      <c r="A52" s="55"/>
      <c r="B52" s="54"/>
      <c r="C52" s="54"/>
      <c r="D52" s="54"/>
      <c r="E52" s="54"/>
      <c r="F52" s="54"/>
      <c r="G52" s="54"/>
      <c r="H52" s="54"/>
      <c r="I52" s="54"/>
      <c r="J52" s="54"/>
      <c r="K52" s="991"/>
      <c r="L52" s="54"/>
      <c r="M52" s="54"/>
      <c r="N52" s="54"/>
      <c r="O52" s="54"/>
      <c r="P52" s="54"/>
    </row>
    <row r="53" spans="1:17" x14ac:dyDescent="0.2">
      <c r="A53" s="55"/>
      <c r="B53" s="54"/>
      <c r="C53" s="54"/>
      <c r="D53" s="54"/>
      <c r="E53" s="54"/>
      <c r="F53" s="54"/>
      <c r="G53" s="54"/>
      <c r="H53" s="54"/>
      <c r="I53" s="54"/>
      <c r="J53" s="54"/>
      <c r="K53" s="991"/>
      <c r="L53" s="54"/>
      <c r="M53" s="54"/>
      <c r="N53" s="54"/>
      <c r="O53" s="54"/>
      <c r="P53" s="54"/>
      <c r="Q53" s="57"/>
    </row>
    <row r="54" spans="1:17" x14ac:dyDescent="0.2">
      <c r="B54" s="25"/>
      <c r="C54" s="25"/>
      <c r="D54" s="25"/>
      <c r="E54" s="58"/>
      <c r="F54" s="58"/>
      <c r="G54" s="58"/>
      <c r="H54" s="58"/>
    </row>
    <row r="55" spans="1:17" x14ac:dyDescent="0.2">
      <c r="B55" s="25"/>
      <c r="C55" s="25"/>
      <c r="D55" s="25"/>
      <c r="E55" s="58"/>
      <c r="F55" s="58"/>
      <c r="G55" s="58"/>
      <c r="H55" s="58"/>
    </row>
    <row r="56" spans="1:17" x14ac:dyDescent="0.2">
      <c r="B56" s="25"/>
      <c r="C56" s="25"/>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sheetData>
  <mergeCells count="11">
    <mergeCell ref="A42:N42"/>
    <mergeCell ref="A43:N43"/>
    <mergeCell ref="A44:N44"/>
    <mergeCell ref="A45:N45"/>
    <mergeCell ref="K2:K3"/>
    <mergeCell ref="A36:N36"/>
    <mergeCell ref="A37:N37"/>
    <mergeCell ref="A38:N38"/>
    <mergeCell ref="A39:N39"/>
    <mergeCell ref="A40:N40"/>
    <mergeCell ref="A41:N41"/>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5">
    <pageSetUpPr fitToPage="1"/>
  </sheetPr>
  <dimension ref="A1:R8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8" s="4" customFormat="1" ht="15.75" x14ac:dyDescent="0.2">
      <c r="A1" s="1" t="s">
        <v>174</v>
      </c>
      <c r="B1" s="2">
        <v>2019</v>
      </c>
      <c r="C1" s="3"/>
      <c r="E1" s="3"/>
      <c r="G1" s="5"/>
      <c r="I1" s="5"/>
      <c r="J1" s="6"/>
      <c r="K1" s="5"/>
      <c r="L1" s="6"/>
      <c r="M1" s="5"/>
      <c r="N1" s="6"/>
    </row>
    <row r="2" spans="1:18" s="4" customFormat="1" ht="15.75" x14ac:dyDescent="0.25">
      <c r="A2" s="1" t="s">
        <v>175</v>
      </c>
      <c r="B2" s="7" t="s">
        <v>176</v>
      </c>
      <c r="C2" s="7" t="s">
        <v>0</v>
      </c>
      <c r="D2" s="6"/>
      <c r="E2" s="8"/>
      <c r="F2" s="9"/>
      <c r="G2" s="8"/>
      <c r="H2" s="6"/>
      <c r="I2" s="8"/>
      <c r="J2" s="6"/>
      <c r="K2" s="1733" t="s">
        <v>171</v>
      </c>
      <c r="L2" s="6"/>
      <c r="M2" s="8"/>
      <c r="N2" s="6"/>
    </row>
    <row r="3" spans="1:18" s="4" customFormat="1" ht="15.75" x14ac:dyDescent="0.25">
      <c r="A3" s="1" t="s">
        <v>177</v>
      </c>
      <c r="B3" s="10" t="s">
        <v>1060</v>
      </c>
      <c r="C3" s="10" t="s">
        <v>1061</v>
      </c>
      <c r="D3" s="6"/>
      <c r="E3" s="11"/>
      <c r="F3" s="9"/>
      <c r="G3" s="11"/>
      <c r="H3" s="6"/>
      <c r="I3" s="11"/>
      <c r="J3" s="6"/>
      <c r="K3" s="1734"/>
      <c r="L3" s="6"/>
      <c r="M3" s="11"/>
      <c r="N3" s="6"/>
    </row>
    <row r="4" spans="1:18" s="4" customFormat="1" ht="15.75" x14ac:dyDescent="0.25">
      <c r="A4" s="1" t="s">
        <v>180</v>
      </c>
      <c r="B4" s="10" t="s">
        <v>216</v>
      </c>
      <c r="C4" s="10" t="s">
        <v>1</v>
      </c>
      <c r="D4" s="6"/>
      <c r="E4" s="11"/>
      <c r="F4" s="9"/>
      <c r="G4" s="11"/>
      <c r="H4" s="6"/>
      <c r="I4" s="11"/>
      <c r="J4" s="6"/>
      <c r="K4" s="11"/>
      <c r="L4" s="6"/>
      <c r="M4" s="11"/>
      <c r="N4" s="6"/>
    </row>
    <row r="5" spans="1:18" s="4" customFormat="1" ht="15.75" x14ac:dyDescent="0.2">
      <c r="A5" s="1" t="s">
        <v>183</v>
      </c>
      <c r="B5" s="12" t="s">
        <v>1365</v>
      </c>
      <c r="C5" s="12" t="s">
        <v>1366</v>
      </c>
      <c r="D5" s="13"/>
      <c r="E5" s="14"/>
      <c r="G5" s="14"/>
      <c r="I5" s="14"/>
      <c r="K5" s="14"/>
      <c r="M5" s="14"/>
    </row>
    <row r="6" spans="1:18" s="4" customFormat="1" ht="15.75" x14ac:dyDescent="0.25">
      <c r="A6" s="15" t="s">
        <v>186</v>
      </c>
      <c r="B6" s="16">
        <v>4</v>
      </c>
      <c r="C6" s="17"/>
      <c r="D6" s="18"/>
      <c r="E6" s="19"/>
      <c r="F6" s="9"/>
      <c r="G6" s="8"/>
      <c r="H6" s="6"/>
      <c r="I6" s="8"/>
      <c r="J6" s="6"/>
      <c r="K6" s="8"/>
      <c r="L6" s="6"/>
      <c r="M6" s="8"/>
      <c r="N6" s="6"/>
    </row>
    <row r="7" spans="1:18" s="24" customFormat="1" x14ac:dyDescent="0.2">
      <c r="A7" s="20"/>
      <c r="B7" s="21"/>
      <c r="C7" s="22"/>
      <c r="D7" s="23"/>
      <c r="E7" s="22"/>
      <c r="F7" s="23"/>
      <c r="G7" s="22"/>
      <c r="H7" s="23"/>
      <c r="I7" s="22"/>
      <c r="J7" s="23"/>
      <c r="K7" s="22" t="s">
        <v>187</v>
      </c>
      <c r="L7" s="23"/>
      <c r="M7" s="22" t="s">
        <v>187</v>
      </c>
      <c r="N7" s="23"/>
    </row>
    <row r="8" spans="1:18"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8"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8" s="37" customFormat="1" x14ac:dyDescent="0.2">
      <c r="A10" s="35" t="s">
        <v>194</v>
      </c>
      <c r="B10" s="36"/>
    </row>
    <row r="11" spans="1:18" s="40" customFormat="1" x14ac:dyDescent="0.2">
      <c r="A11" s="38" t="s">
        <v>254</v>
      </c>
      <c r="B11" s="39"/>
    </row>
    <row r="12" spans="1:18" s="40" customFormat="1" x14ac:dyDescent="0.2">
      <c r="A12" s="41" t="s">
        <v>332</v>
      </c>
      <c r="B12" s="39"/>
      <c r="C12" s="76">
        <v>1240</v>
      </c>
      <c r="E12" s="76">
        <v>1243</v>
      </c>
      <c r="G12" s="77"/>
      <c r="I12" s="76">
        <v>1138</v>
      </c>
      <c r="K12" s="76"/>
      <c r="M12" s="77"/>
    </row>
    <row r="13" spans="1:18" s="40" customFormat="1" x14ac:dyDescent="0.2">
      <c r="A13" s="41" t="s">
        <v>256</v>
      </c>
      <c r="B13" s="39"/>
      <c r="C13" s="100">
        <f>C12/7214</f>
        <v>0.17188799556418077</v>
      </c>
      <c r="E13" s="100">
        <f>E12/6927</f>
        <v>0.17944276021365671</v>
      </c>
      <c r="G13" s="101"/>
      <c r="I13" s="100">
        <f>I12/7071</f>
        <v>0.16093904681091784</v>
      </c>
      <c r="K13" s="100"/>
      <c r="M13" s="101"/>
      <c r="O13" s="101"/>
      <c r="R13" s="101"/>
    </row>
    <row r="14" spans="1:18" s="40" customFormat="1" x14ac:dyDescent="0.2">
      <c r="A14" s="41" t="s">
        <v>257</v>
      </c>
      <c r="B14" s="39"/>
      <c r="C14" s="76">
        <v>3197</v>
      </c>
      <c r="E14" s="76">
        <v>3078</v>
      </c>
      <c r="G14" s="77"/>
      <c r="I14" s="76">
        <v>2921</v>
      </c>
      <c r="K14" s="76"/>
      <c r="M14" s="77"/>
      <c r="O14" s="101"/>
      <c r="R14" s="101"/>
    </row>
    <row r="15" spans="1:18" s="40" customFormat="1" x14ac:dyDescent="0.2">
      <c r="A15" s="41" t="s">
        <v>258</v>
      </c>
      <c r="B15" s="39"/>
      <c r="C15" s="100">
        <f>C14/7214</f>
        <v>0.44316606598281122</v>
      </c>
      <c r="E15" s="100">
        <f>E14/6927</f>
        <v>0.44434820268514508</v>
      </c>
      <c r="G15" s="101"/>
      <c r="I15" s="100">
        <f>I14/7071</f>
        <v>0.41309574317635411</v>
      </c>
      <c r="K15" s="100"/>
      <c r="M15" s="101"/>
      <c r="O15" s="101"/>
      <c r="R15" s="101"/>
    </row>
    <row r="16" spans="1:18" s="40" customFormat="1" x14ac:dyDescent="0.2">
      <c r="A16" s="90" t="s">
        <v>1367</v>
      </c>
      <c r="B16" s="39"/>
      <c r="C16" s="76">
        <f>C12+C14</f>
        <v>4437</v>
      </c>
      <c r="E16" s="76">
        <f>E12+E14</f>
        <v>4321</v>
      </c>
      <c r="G16" s="77"/>
      <c r="I16" s="76">
        <f>I14+I12</f>
        <v>4059</v>
      </c>
      <c r="K16" s="76"/>
      <c r="M16" s="77"/>
      <c r="O16" s="152"/>
      <c r="R16" s="101"/>
    </row>
    <row r="17" spans="1:17" s="40" customFormat="1" x14ac:dyDescent="0.2">
      <c r="A17" s="90" t="s">
        <v>260</v>
      </c>
      <c r="B17" s="39"/>
      <c r="C17" s="100">
        <f>C16/7214</f>
        <v>0.61505406154699194</v>
      </c>
      <c r="E17" s="100">
        <v>0.623</v>
      </c>
      <c r="G17" s="101"/>
      <c r="I17" s="100">
        <v>0.57399999999999995</v>
      </c>
      <c r="K17" s="100"/>
      <c r="M17" s="101"/>
      <c r="O17" s="152"/>
    </row>
    <row r="18" spans="1:17" s="37" customFormat="1" x14ac:dyDescent="0.2">
      <c r="A18" s="35" t="s">
        <v>211</v>
      </c>
      <c r="B18" s="36"/>
      <c r="C18" s="87"/>
      <c r="E18" s="87"/>
      <c r="I18" s="87"/>
      <c r="K18" s="87"/>
    </row>
    <row r="19" spans="1:17" s="37" customFormat="1" x14ac:dyDescent="0.2">
      <c r="A19" s="35" t="s">
        <v>195</v>
      </c>
      <c r="B19" s="36"/>
      <c r="C19" s="87"/>
      <c r="E19" s="87"/>
      <c r="I19" s="87"/>
      <c r="K19" s="87"/>
    </row>
    <row r="20" spans="1:17" s="40" customFormat="1" x14ac:dyDescent="0.2">
      <c r="A20" s="38" t="s">
        <v>1238</v>
      </c>
      <c r="B20" s="39"/>
      <c r="C20" s="63"/>
      <c r="E20" s="63"/>
      <c r="I20" s="63"/>
      <c r="K20" s="63"/>
    </row>
    <row r="21" spans="1:17" s="40" customFormat="1" x14ac:dyDescent="0.2">
      <c r="A21" s="41" t="s">
        <v>197</v>
      </c>
      <c r="B21" s="39"/>
      <c r="C21" s="76">
        <f>293-71</f>
        <v>222</v>
      </c>
      <c r="D21" s="77"/>
      <c r="E21" s="76">
        <f>315-71</f>
        <v>244</v>
      </c>
      <c r="F21" s="77"/>
      <c r="G21" s="76">
        <v>308</v>
      </c>
      <c r="I21" s="76">
        <v>248</v>
      </c>
      <c r="K21" s="76">
        <v>248</v>
      </c>
      <c r="M21" s="78"/>
    </row>
    <row r="22" spans="1:17" s="40" customFormat="1" x14ac:dyDescent="0.2">
      <c r="A22" s="41" t="s">
        <v>261</v>
      </c>
      <c r="B22" s="39"/>
      <c r="C22" s="76">
        <v>176</v>
      </c>
      <c r="D22" s="77"/>
      <c r="E22" s="76">
        <v>190</v>
      </c>
      <c r="F22" s="77"/>
      <c r="G22" s="76">
        <v>192</v>
      </c>
      <c r="I22" s="76">
        <v>188</v>
      </c>
      <c r="K22" s="76">
        <v>178</v>
      </c>
      <c r="M22" s="78"/>
    </row>
    <row r="23" spans="1:17" s="40" customFormat="1" x14ac:dyDescent="0.2">
      <c r="A23" s="41" t="s">
        <v>262</v>
      </c>
      <c r="B23" s="39"/>
      <c r="C23" s="76">
        <v>8</v>
      </c>
      <c r="D23" s="77"/>
      <c r="E23" s="76">
        <v>10</v>
      </c>
      <c r="F23" s="77"/>
      <c r="G23" s="76">
        <v>9</v>
      </c>
      <c r="I23" s="76">
        <v>11</v>
      </c>
      <c r="K23" s="76">
        <v>11</v>
      </c>
      <c r="M23" s="78"/>
    </row>
    <row r="24" spans="1:17" s="40" customFormat="1" x14ac:dyDescent="0.2">
      <c r="A24" s="41" t="s">
        <v>198</v>
      </c>
      <c r="B24" s="39"/>
      <c r="C24" s="76">
        <f t="shared" ref="C24" si="0">C23+C22+C21</f>
        <v>406</v>
      </c>
      <c r="D24" s="76"/>
      <c r="E24" s="76">
        <f>SUM(E21:E23)</f>
        <v>444</v>
      </c>
      <c r="F24" s="76"/>
      <c r="G24" s="76">
        <f>G21+G22+G23</f>
        <v>509</v>
      </c>
      <c r="H24" s="76"/>
      <c r="I24" s="76">
        <f>I23+I22+I21</f>
        <v>447</v>
      </c>
      <c r="J24" s="76"/>
      <c r="K24" s="76">
        <f>SUM(K21:K23)</f>
        <v>437</v>
      </c>
      <c r="M24" s="78"/>
    </row>
    <row r="25" spans="1:17" s="40" customFormat="1" x14ac:dyDescent="0.2">
      <c r="A25" s="38" t="s">
        <v>1239</v>
      </c>
      <c r="B25" s="39"/>
      <c r="C25" s="63"/>
      <c r="E25" s="63"/>
      <c r="G25" s="63"/>
      <c r="I25" s="63"/>
      <c r="K25" s="63"/>
      <c r="M25" s="78"/>
    </row>
    <row r="26" spans="1:17" s="40" customFormat="1" x14ac:dyDescent="0.2">
      <c r="A26" s="41" t="s">
        <v>1368</v>
      </c>
      <c r="B26" s="39"/>
      <c r="C26" s="76">
        <v>80</v>
      </c>
      <c r="E26" s="76">
        <v>83</v>
      </c>
      <c r="G26" s="76">
        <v>80</v>
      </c>
      <c r="I26" s="76">
        <v>70</v>
      </c>
      <c r="K26" s="76">
        <v>70</v>
      </c>
      <c r="M26" s="78"/>
    </row>
    <row r="27" spans="1:17" s="40" customFormat="1" x14ac:dyDescent="0.2">
      <c r="A27" s="41" t="s">
        <v>263</v>
      </c>
      <c r="B27" s="39"/>
      <c r="C27" s="76">
        <f>397-71</f>
        <v>326</v>
      </c>
      <c r="E27" s="76">
        <f>432-71</f>
        <v>361</v>
      </c>
      <c r="G27" s="76">
        <v>429</v>
      </c>
      <c r="I27" s="76">
        <v>377</v>
      </c>
      <c r="K27" s="76">
        <v>367</v>
      </c>
      <c r="M27" s="78"/>
    </row>
    <row r="28" spans="1:17" s="40" customFormat="1" x14ac:dyDescent="0.2">
      <c r="A28" s="41" t="s">
        <v>198</v>
      </c>
      <c r="B28" s="39"/>
      <c r="C28" s="76">
        <f>SUM(C26:C27)</f>
        <v>406</v>
      </c>
      <c r="E28" s="76">
        <f>SUM(E26:E27)</f>
        <v>444</v>
      </c>
      <c r="G28" s="76">
        <f>SUM(G26:G27)</f>
        <v>509</v>
      </c>
      <c r="I28" s="76">
        <f>I27+I26</f>
        <v>447</v>
      </c>
      <c r="K28" s="76">
        <f>SUM(K26:K27)</f>
        <v>437</v>
      </c>
      <c r="M28" s="78"/>
    </row>
    <row r="29" spans="1:17" s="48" customFormat="1" x14ac:dyDescent="0.2">
      <c r="A29" s="46"/>
      <c r="B29" s="47"/>
      <c r="C29" s="331"/>
      <c r="E29" s="331"/>
      <c r="G29" s="76"/>
      <c r="I29" s="76"/>
    </row>
    <row r="30" spans="1:17" s="48" customFormat="1" x14ac:dyDescent="0.2">
      <c r="A30" s="49" t="s">
        <v>200</v>
      </c>
      <c r="B30" s="50"/>
      <c r="C30" s="51"/>
      <c r="D30" s="52"/>
      <c r="E30" s="53"/>
      <c r="F30" s="52"/>
      <c r="G30" s="53"/>
      <c r="H30" s="52"/>
      <c r="I30" s="53"/>
      <c r="J30" s="52"/>
      <c r="K30" s="53"/>
      <c r="L30" s="52"/>
      <c r="M30" s="51"/>
      <c r="N30" s="52"/>
    </row>
    <row r="31" spans="1:17" ht="27.75" customHeight="1" x14ac:dyDescent="0.2">
      <c r="A31" s="1752" t="s">
        <v>218</v>
      </c>
      <c r="B31" s="1798"/>
      <c r="C31" s="1799"/>
      <c r="D31" s="1798"/>
      <c r="E31" s="1799"/>
      <c r="F31" s="1798"/>
      <c r="G31" s="1799"/>
      <c r="H31" s="1798"/>
      <c r="I31" s="1799"/>
      <c r="J31" s="1798"/>
      <c r="K31" s="1799"/>
      <c r="L31" s="1798"/>
      <c r="M31" s="1799"/>
      <c r="N31" s="1798"/>
      <c r="O31" s="54"/>
      <c r="P31" s="54"/>
      <c r="Q31" s="951"/>
    </row>
    <row r="32" spans="1:17" ht="27.75" customHeight="1" x14ac:dyDescent="0.2">
      <c r="A32" s="1752" t="s">
        <v>978</v>
      </c>
      <c r="B32" s="1798"/>
      <c r="C32" s="1799"/>
      <c r="D32" s="1798"/>
      <c r="E32" s="1799"/>
      <c r="F32" s="1798"/>
      <c r="G32" s="1799"/>
      <c r="H32" s="1798"/>
      <c r="I32" s="1799"/>
      <c r="J32" s="1798"/>
      <c r="K32" s="1799"/>
      <c r="L32" s="1798"/>
      <c r="M32" s="54"/>
      <c r="N32" s="54"/>
      <c r="O32" s="54"/>
      <c r="P32" s="54"/>
    </row>
    <row r="33" spans="1:17" ht="15" x14ac:dyDescent="0.2">
      <c r="A33" s="994"/>
      <c r="B33" s="54"/>
      <c r="C33" s="56"/>
      <c r="D33" s="54"/>
      <c r="E33" s="56"/>
      <c r="F33" s="54"/>
      <c r="G33" s="56"/>
      <c r="H33" s="54"/>
      <c r="I33" s="56"/>
      <c r="J33" s="54"/>
      <c r="K33" s="56"/>
      <c r="L33" s="54"/>
      <c r="M33" s="56"/>
      <c r="N33" s="54"/>
      <c r="O33" s="54"/>
      <c r="P33" s="54"/>
    </row>
    <row r="34" spans="1:17" x14ac:dyDescent="0.2">
      <c r="A34" s="55"/>
      <c r="B34" s="54"/>
      <c r="C34" s="54"/>
      <c r="D34" s="54"/>
      <c r="E34" s="54"/>
      <c r="F34" s="54"/>
      <c r="G34" s="54"/>
      <c r="H34" s="54"/>
      <c r="I34" s="54"/>
      <c r="J34" s="54"/>
      <c r="K34" s="54"/>
      <c r="L34" s="54"/>
      <c r="M34" s="54"/>
      <c r="N34" s="54"/>
      <c r="O34" s="54"/>
      <c r="P34" s="54"/>
    </row>
    <row r="35" spans="1:17" x14ac:dyDescent="0.2">
      <c r="A35" s="55"/>
      <c r="B35" s="54"/>
      <c r="C35" s="54"/>
      <c r="D35" s="54"/>
      <c r="E35" s="54"/>
      <c r="F35" s="54"/>
      <c r="G35" s="54"/>
      <c r="H35" s="54"/>
      <c r="I35" s="54"/>
      <c r="J35" s="54"/>
      <c r="K35" s="54"/>
      <c r="L35" s="54"/>
      <c r="M35" s="54"/>
      <c r="N35" s="54"/>
      <c r="O35" s="54"/>
      <c r="P35" s="54"/>
    </row>
    <row r="36" spans="1:17" x14ac:dyDescent="0.2">
      <c r="A36" s="55"/>
      <c r="B36" s="54"/>
      <c r="C36" s="54"/>
      <c r="D36" s="54"/>
      <c r="E36" s="54"/>
      <c r="F36" s="54"/>
      <c r="G36" s="54"/>
      <c r="H36" s="54"/>
      <c r="I36" s="54"/>
      <c r="J36" s="54"/>
      <c r="K36" s="54"/>
      <c r="L36" s="54"/>
      <c r="M36" s="54"/>
      <c r="N36" s="54"/>
      <c r="O36" s="54"/>
      <c r="P36" s="54"/>
      <c r="Q36" s="57"/>
    </row>
    <row r="37" spans="1:17" x14ac:dyDescent="0.2">
      <c r="B37" s="25"/>
      <c r="C37" s="25"/>
      <c r="D37" s="25"/>
      <c r="E37" s="58"/>
      <c r="F37" s="58"/>
      <c r="G37" s="58"/>
      <c r="H37" s="58"/>
    </row>
    <row r="38" spans="1:17" x14ac:dyDescent="0.2">
      <c r="B38" s="25"/>
      <c r="C38" s="25"/>
      <c r="D38" s="25"/>
      <c r="E38" s="58"/>
      <c r="F38" s="58"/>
      <c r="G38" s="58"/>
      <c r="H38" s="58"/>
    </row>
    <row r="39" spans="1:17" x14ac:dyDescent="0.2">
      <c r="B39" s="25"/>
      <c r="C39" s="25"/>
      <c r="D39" s="25"/>
      <c r="E39" s="58"/>
      <c r="F39" s="58"/>
      <c r="G39" s="58"/>
      <c r="H39" s="58"/>
    </row>
    <row r="40" spans="1:17" x14ac:dyDescent="0.2">
      <c r="B40" s="25"/>
      <c r="C40" s="25"/>
      <c r="D40" s="25"/>
      <c r="E40" s="58"/>
      <c r="F40" s="58"/>
      <c r="G40" s="58"/>
      <c r="H40" s="58"/>
    </row>
    <row r="41" spans="1:17" x14ac:dyDescent="0.2">
      <c r="B41" s="25"/>
      <c r="C41" s="25"/>
      <c r="D41" s="25"/>
      <c r="E41" s="58"/>
      <c r="F41" s="58"/>
      <c r="G41" s="58"/>
      <c r="H41" s="58"/>
    </row>
    <row r="42" spans="1:17" x14ac:dyDescent="0.2">
      <c r="B42" s="25"/>
      <c r="C42" s="25"/>
      <c r="D42" s="25"/>
      <c r="E42" s="58"/>
      <c r="F42" s="58"/>
      <c r="G42" s="58"/>
      <c r="H42" s="58"/>
    </row>
    <row r="43" spans="1:17" x14ac:dyDescent="0.2">
      <c r="B43" s="25"/>
      <c r="C43" s="25"/>
      <c r="D43" s="25"/>
      <c r="E43" s="58"/>
      <c r="F43" s="58"/>
      <c r="G43" s="58"/>
      <c r="H43" s="58"/>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row>
    <row r="67" spans="2:8" x14ac:dyDescent="0.2">
      <c r="B67" s="25"/>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sheetData>
  <mergeCells count="3">
    <mergeCell ref="A31:N31"/>
    <mergeCell ref="A32:L32"/>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6">
    <pageSetUpPr fitToPage="1"/>
  </sheetPr>
  <dimension ref="A1:Q9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1369</v>
      </c>
      <c r="C3" s="10" t="s">
        <v>1370</v>
      </c>
      <c r="D3" s="6"/>
      <c r="E3" s="11"/>
      <c r="F3" s="9"/>
      <c r="G3" s="11"/>
      <c r="H3" s="6"/>
      <c r="I3" s="11"/>
      <c r="J3" s="6"/>
      <c r="K3" s="1734"/>
      <c r="L3" s="6"/>
      <c r="M3" s="11"/>
      <c r="N3" s="6"/>
    </row>
    <row r="4" spans="1:16" s="4" customFormat="1" ht="15.75" x14ac:dyDescent="0.25">
      <c r="A4" s="1" t="s">
        <v>180</v>
      </c>
      <c r="B4" s="10" t="s">
        <v>1371</v>
      </c>
      <c r="C4" s="10" t="s">
        <v>1372</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c r="M10" s="108"/>
    </row>
    <row r="11" spans="1:16" s="40" customFormat="1" ht="14.25" x14ac:dyDescent="0.2">
      <c r="A11" s="38" t="s">
        <v>1373</v>
      </c>
      <c r="B11" s="39"/>
      <c r="M11" s="64"/>
    </row>
    <row r="12" spans="1:16" s="40" customFormat="1" x14ac:dyDescent="0.2">
      <c r="A12" s="41" t="s">
        <v>332</v>
      </c>
      <c r="B12" s="39"/>
      <c r="C12" s="42">
        <v>295</v>
      </c>
      <c r="E12" s="42">
        <v>298</v>
      </c>
      <c r="G12" s="42"/>
      <c r="I12" s="42">
        <v>303</v>
      </c>
      <c r="K12" s="42"/>
      <c r="M12" s="62"/>
    </row>
    <row r="13" spans="1:16" s="40" customFormat="1" x14ac:dyDescent="0.2">
      <c r="A13" s="41" t="s">
        <v>256</v>
      </c>
      <c r="B13" s="39"/>
      <c r="C13" s="100">
        <v>0.109</v>
      </c>
      <c r="E13" s="100">
        <v>0.11</v>
      </c>
      <c r="G13" s="101"/>
      <c r="I13" s="100">
        <v>0.115</v>
      </c>
      <c r="K13" s="100"/>
      <c r="M13" s="100"/>
    </row>
    <row r="14" spans="1:16" s="40" customFormat="1" x14ac:dyDescent="0.2">
      <c r="A14" s="41" t="s">
        <v>257</v>
      </c>
      <c r="B14" s="39"/>
      <c r="C14" s="42">
        <v>915</v>
      </c>
      <c r="E14" s="42">
        <v>923</v>
      </c>
      <c r="G14" s="42"/>
      <c r="I14" s="42">
        <v>891</v>
      </c>
      <c r="K14" s="42"/>
      <c r="M14" s="62"/>
    </row>
    <row r="15" spans="1:16" s="40" customFormat="1" x14ac:dyDescent="0.2">
      <c r="A15" s="41" t="s">
        <v>258</v>
      </c>
      <c r="B15" s="39"/>
      <c r="C15" s="100">
        <v>0.33900000000000002</v>
      </c>
      <c r="E15" s="100">
        <v>0.34</v>
      </c>
      <c r="G15" s="101"/>
      <c r="I15" s="100">
        <v>0.33900000000000002</v>
      </c>
      <c r="K15" s="100"/>
      <c r="M15" s="441"/>
    </row>
    <row r="16" spans="1:16" s="40" customFormat="1" x14ac:dyDescent="0.2">
      <c r="A16" s="41" t="s">
        <v>259</v>
      </c>
      <c r="B16" s="39"/>
      <c r="C16" s="42">
        <f>C12+C14</f>
        <v>1210</v>
      </c>
      <c r="E16" s="42">
        <f>E12+E14</f>
        <v>1221</v>
      </c>
      <c r="G16" s="42"/>
      <c r="I16" s="42">
        <f>I12+I14</f>
        <v>1194</v>
      </c>
      <c r="K16" s="42"/>
      <c r="M16" s="62"/>
    </row>
    <row r="17" spans="1:17" s="40" customFormat="1" x14ac:dyDescent="0.2">
      <c r="A17" s="41" t="s">
        <v>260</v>
      </c>
      <c r="B17" s="39"/>
      <c r="C17" s="100">
        <f>C13+C15</f>
        <v>0.44800000000000001</v>
      </c>
      <c r="E17" s="100">
        <f>E13+E15</f>
        <v>0.45</v>
      </c>
      <c r="G17" s="101"/>
      <c r="I17" s="100">
        <f>I13+I15</f>
        <v>0.45400000000000001</v>
      </c>
      <c r="K17" s="100"/>
      <c r="M17" s="100"/>
    </row>
    <row r="18" spans="1:17" s="37" customFormat="1" x14ac:dyDescent="0.2">
      <c r="A18" s="35" t="s">
        <v>211</v>
      </c>
      <c r="B18" s="36"/>
      <c r="M18" s="108"/>
    </row>
    <row r="19" spans="1:17" s="37" customFormat="1" x14ac:dyDescent="0.2">
      <c r="A19" s="35" t="s">
        <v>973</v>
      </c>
      <c r="B19" s="36"/>
    </row>
    <row r="20" spans="1:17" s="40" customFormat="1" x14ac:dyDescent="0.2">
      <c r="A20" s="38" t="s">
        <v>196</v>
      </c>
      <c r="B20" s="39"/>
      <c r="C20" s="995"/>
    </row>
    <row r="21" spans="1:17" s="40" customFormat="1" x14ac:dyDescent="0.2">
      <c r="A21" s="41" t="s">
        <v>197</v>
      </c>
      <c r="B21" s="39"/>
      <c r="C21" s="995">
        <v>26</v>
      </c>
      <c r="D21" s="528"/>
      <c r="E21" s="528">
        <v>23</v>
      </c>
      <c r="F21" s="528"/>
      <c r="G21" s="996">
        <v>27</v>
      </c>
      <c r="H21" s="528"/>
      <c r="I21" s="996">
        <v>23</v>
      </c>
      <c r="J21" s="528"/>
      <c r="K21" s="528">
        <v>23</v>
      </c>
      <c r="M21" s="62"/>
    </row>
    <row r="22" spans="1:17" s="40" customFormat="1" x14ac:dyDescent="0.2">
      <c r="A22" s="41" t="s">
        <v>261</v>
      </c>
      <c r="B22" s="39"/>
      <c r="C22" s="995">
        <v>297</v>
      </c>
      <c r="D22" s="528"/>
      <c r="E22" s="528">
        <v>321</v>
      </c>
      <c r="F22" s="528"/>
      <c r="G22" s="996">
        <v>319</v>
      </c>
      <c r="H22" s="528"/>
      <c r="I22" s="996">
        <v>367</v>
      </c>
      <c r="J22" s="528"/>
      <c r="K22" s="528">
        <v>369</v>
      </c>
      <c r="M22" s="62"/>
    </row>
    <row r="23" spans="1:17" s="40" customFormat="1" x14ac:dyDescent="0.2">
      <c r="A23" s="41" t="s">
        <v>198</v>
      </c>
      <c r="B23" s="39"/>
      <c r="C23" s="995">
        <f>SUM(C21:C22)</f>
        <v>323</v>
      </c>
      <c r="D23" s="996"/>
      <c r="E23" s="996">
        <f>SUM(E21:E22)</f>
        <v>344</v>
      </c>
      <c r="F23" s="996"/>
      <c r="G23" s="996">
        <f>SUM(G21:G22)</f>
        <v>346</v>
      </c>
      <c r="H23" s="528"/>
      <c r="I23" s="996">
        <f>SUM(I21:I22)</f>
        <v>390</v>
      </c>
      <c r="J23" s="528"/>
      <c r="K23" s="528">
        <f>SUM(K21:K22)</f>
        <v>392</v>
      </c>
      <c r="M23" s="528"/>
    </row>
    <row r="24" spans="1:17" s="40" customFormat="1" x14ac:dyDescent="0.2">
      <c r="A24" s="38" t="s">
        <v>199</v>
      </c>
      <c r="B24" s="39"/>
      <c r="C24" s="995"/>
      <c r="D24" s="528"/>
      <c r="E24" s="528"/>
      <c r="F24" s="528"/>
      <c r="G24" s="528"/>
      <c r="H24" s="528"/>
      <c r="I24" s="996"/>
      <c r="J24" s="528"/>
      <c r="K24" s="528"/>
      <c r="M24" s="76"/>
    </row>
    <row r="25" spans="1:17" s="40" customFormat="1" x14ac:dyDescent="0.2">
      <c r="A25" s="41" t="s">
        <v>1374</v>
      </c>
      <c r="B25" s="39"/>
      <c r="C25" s="995">
        <v>58</v>
      </c>
      <c r="D25" s="528"/>
      <c r="E25" s="528">
        <v>70</v>
      </c>
      <c r="F25" s="528"/>
      <c r="G25" s="996">
        <v>64</v>
      </c>
      <c r="H25" s="528"/>
      <c r="I25" s="996">
        <v>98</v>
      </c>
      <c r="J25" s="528"/>
      <c r="K25" s="528">
        <v>98</v>
      </c>
      <c r="M25" s="62"/>
    </row>
    <row r="26" spans="1:17" s="40" customFormat="1" x14ac:dyDescent="0.2">
      <c r="A26" s="41" t="s">
        <v>263</v>
      </c>
      <c r="B26" s="39"/>
      <c r="C26" s="995">
        <v>265</v>
      </c>
      <c r="D26" s="528"/>
      <c r="E26" s="528">
        <v>274</v>
      </c>
      <c r="F26" s="528"/>
      <c r="G26" s="996">
        <v>282</v>
      </c>
      <c r="H26" s="528"/>
      <c r="I26" s="996">
        <v>292</v>
      </c>
      <c r="J26" s="528"/>
      <c r="K26" s="528">
        <v>294</v>
      </c>
      <c r="M26" s="528"/>
    </row>
    <row r="27" spans="1:17" s="40" customFormat="1" x14ac:dyDescent="0.2">
      <c r="A27" s="41" t="s">
        <v>198</v>
      </c>
      <c r="B27" s="39"/>
      <c r="C27" s="995">
        <f>SUM(C25:C26)</f>
        <v>323</v>
      </c>
      <c r="D27" s="996"/>
      <c r="E27" s="996">
        <f>SUM(E25:E26)</f>
        <v>344</v>
      </c>
      <c r="F27" s="996"/>
      <c r="G27" s="996">
        <f>SUM(G25:G26)</f>
        <v>346</v>
      </c>
      <c r="H27" s="996"/>
      <c r="I27" s="996">
        <f>SUM(I25:I26)</f>
        <v>390</v>
      </c>
      <c r="J27" s="996"/>
      <c r="K27" s="528">
        <f>SUM(K25:K26)</f>
        <v>392</v>
      </c>
      <c r="M27" s="62"/>
    </row>
    <row r="28" spans="1:17" s="48" customFormat="1" x14ac:dyDescent="0.2">
      <c r="A28" s="46"/>
      <c r="B28" s="47"/>
      <c r="C28" s="995"/>
    </row>
    <row r="29" spans="1:17" s="48" customFormat="1" x14ac:dyDescent="0.2">
      <c r="A29" s="49" t="s">
        <v>200</v>
      </c>
      <c r="B29" s="50"/>
      <c r="C29" s="995"/>
      <c r="D29" s="52"/>
      <c r="E29" s="53"/>
      <c r="F29" s="52"/>
      <c r="G29" s="53"/>
      <c r="H29" s="52"/>
      <c r="I29" s="53"/>
      <c r="J29" s="52"/>
      <c r="K29" s="53"/>
      <c r="L29" s="52"/>
      <c r="M29" s="51"/>
      <c r="N29" s="52"/>
    </row>
    <row r="30" spans="1:17" ht="27.75" customHeight="1" x14ac:dyDescent="0.2">
      <c r="A30" s="1738" t="s">
        <v>218</v>
      </c>
      <c r="B30" s="1736"/>
      <c r="C30" s="1737"/>
      <c r="D30" s="1736"/>
      <c r="E30" s="1737"/>
      <c r="F30" s="1736"/>
      <c r="G30" s="1737"/>
      <c r="H30" s="1736"/>
      <c r="I30" s="1737"/>
      <c r="J30" s="1736"/>
      <c r="K30" s="1737"/>
      <c r="L30" s="1736"/>
      <c r="M30" s="1737"/>
      <c r="N30" s="1736"/>
      <c r="O30" s="54"/>
      <c r="P30" s="54"/>
      <c r="Q30" s="951"/>
    </row>
    <row r="31" spans="1:17" ht="27.75" customHeight="1" x14ac:dyDescent="0.2">
      <c r="A31" s="1755" t="s">
        <v>1375</v>
      </c>
      <c r="B31" s="1736"/>
      <c r="C31" s="1737"/>
      <c r="D31" s="1736"/>
      <c r="E31" s="1737"/>
      <c r="F31" s="1736"/>
      <c r="G31" s="1737"/>
      <c r="H31" s="1736"/>
      <c r="I31" s="1737"/>
      <c r="J31" s="1736"/>
      <c r="K31" s="1737"/>
      <c r="L31" s="1736"/>
      <c r="M31" s="1737"/>
      <c r="N31" s="1736"/>
      <c r="O31" s="54"/>
      <c r="P31" s="54"/>
    </row>
    <row r="32" spans="1:17" ht="27.75" customHeight="1" x14ac:dyDescent="0.2">
      <c r="A32" s="1738"/>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ht="27.75" customHeight="1" x14ac:dyDescent="0.2">
      <c r="A37" s="1735"/>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ht="27.75" customHeight="1" x14ac:dyDescent="0.2">
      <c r="A39" s="1735"/>
      <c r="B39" s="1736"/>
      <c r="C39" s="1737"/>
      <c r="D39" s="1736"/>
      <c r="E39" s="1737"/>
      <c r="F39" s="1736"/>
      <c r="G39" s="1737"/>
      <c r="H39" s="1736"/>
      <c r="I39" s="1737"/>
      <c r="J39" s="1736"/>
      <c r="K39" s="1737"/>
      <c r="L39" s="1736"/>
      <c r="M39" s="1737"/>
      <c r="N39" s="1736"/>
      <c r="O39" s="54"/>
      <c r="P39" s="54"/>
    </row>
    <row r="40" spans="1:17" x14ac:dyDescent="0.2">
      <c r="A40" s="55"/>
      <c r="B40" s="54"/>
      <c r="C40" s="56"/>
      <c r="D40" s="54"/>
      <c r="E40" s="56"/>
      <c r="F40" s="54"/>
      <c r="G40" s="56"/>
      <c r="H40" s="54"/>
      <c r="I40" s="56"/>
      <c r="J40" s="54"/>
      <c r="K40" s="56"/>
      <c r="L40" s="54"/>
      <c r="M40" s="56"/>
      <c r="N40" s="54"/>
      <c r="O40" s="54"/>
      <c r="P40" s="54"/>
    </row>
    <row r="41" spans="1:17" x14ac:dyDescent="0.2">
      <c r="A41" s="55"/>
      <c r="B41" s="54"/>
      <c r="C41" s="54"/>
      <c r="D41" s="54"/>
      <c r="E41" s="54"/>
      <c r="F41" s="54"/>
      <c r="G41" s="54"/>
      <c r="H41" s="54"/>
      <c r="I41" s="54"/>
      <c r="J41" s="54"/>
      <c r="K41" s="54"/>
      <c r="L41" s="54"/>
      <c r="M41" s="54"/>
      <c r="N41" s="54"/>
      <c r="O41" s="54"/>
      <c r="P41" s="54"/>
    </row>
    <row r="42" spans="1:17" x14ac:dyDescent="0.2">
      <c r="A42" s="55"/>
      <c r="B42" s="54"/>
      <c r="C42" s="56"/>
      <c r="D42" s="54"/>
      <c r="E42" s="56"/>
      <c r="F42" s="54"/>
      <c r="G42" s="56"/>
      <c r="H42" s="54"/>
      <c r="I42" s="56"/>
      <c r="J42" s="54"/>
      <c r="K42" s="56"/>
      <c r="L42" s="54"/>
      <c r="M42" s="56"/>
      <c r="N42" s="54"/>
      <c r="O42" s="54"/>
      <c r="P42" s="54"/>
    </row>
    <row r="43" spans="1:17" x14ac:dyDescent="0.2">
      <c r="A43" s="55"/>
      <c r="B43" s="54"/>
      <c r="C43" s="54"/>
      <c r="D43" s="54"/>
      <c r="E43" s="54"/>
      <c r="F43" s="54"/>
      <c r="G43" s="54"/>
      <c r="H43" s="54"/>
      <c r="I43" s="54"/>
      <c r="J43" s="54"/>
      <c r="K43" s="54"/>
      <c r="L43" s="54"/>
      <c r="M43" s="54"/>
      <c r="N43" s="54"/>
      <c r="O43" s="54"/>
      <c r="P43" s="54"/>
    </row>
    <row r="44" spans="1:17" x14ac:dyDescent="0.2">
      <c r="A44" s="55"/>
      <c r="B44" s="54"/>
      <c r="C44" s="56"/>
      <c r="D44" s="54"/>
      <c r="E44" s="56"/>
      <c r="F44" s="54"/>
      <c r="G44" s="56"/>
      <c r="H44" s="54"/>
      <c r="I44" s="56"/>
      <c r="J44" s="54"/>
      <c r="K44" s="56"/>
      <c r="L44" s="54"/>
      <c r="M44" s="56"/>
      <c r="N44" s="54"/>
      <c r="O44" s="54"/>
      <c r="P44" s="54"/>
    </row>
    <row r="45" spans="1:17" x14ac:dyDescent="0.2">
      <c r="A45" s="55"/>
      <c r="B45" s="54"/>
      <c r="C45" s="54"/>
      <c r="D45" s="54"/>
      <c r="E45" s="54"/>
      <c r="F45" s="54"/>
      <c r="G45" s="54"/>
      <c r="H45" s="54"/>
      <c r="I45" s="54"/>
      <c r="J45" s="54"/>
      <c r="K45" s="54"/>
      <c r="L45" s="54"/>
      <c r="M45" s="54"/>
      <c r="N45" s="54"/>
      <c r="O45" s="54"/>
      <c r="P45" s="54"/>
    </row>
    <row r="46" spans="1:17" x14ac:dyDescent="0.2">
      <c r="A46" s="55"/>
      <c r="B46" s="54"/>
      <c r="C46" s="54"/>
      <c r="D46" s="54"/>
      <c r="E46" s="54"/>
      <c r="F46" s="54"/>
      <c r="G46" s="54"/>
      <c r="H46" s="54"/>
      <c r="I46" s="54"/>
      <c r="J46" s="54"/>
      <c r="K46" s="54"/>
      <c r="L46" s="54"/>
      <c r="M46" s="54"/>
      <c r="N46" s="54"/>
      <c r="O46" s="54"/>
      <c r="P46" s="54"/>
    </row>
    <row r="47" spans="1:17" x14ac:dyDescent="0.2">
      <c r="A47" s="55"/>
      <c r="B47" s="54"/>
      <c r="C47" s="54"/>
      <c r="D47" s="54"/>
      <c r="E47" s="54"/>
      <c r="F47" s="54"/>
      <c r="G47" s="54"/>
      <c r="H47" s="54"/>
      <c r="I47" s="54"/>
      <c r="J47" s="54"/>
      <c r="K47" s="54"/>
      <c r="L47" s="54"/>
      <c r="M47" s="54"/>
      <c r="N47" s="54"/>
      <c r="O47" s="54"/>
      <c r="P47" s="54"/>
      <c r="Q47" s="57"/>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sheetData>
  <mergeCells count="11">
    <mergeCell ref="A36:N36"/>
    <mergeCell ref="A37:N37"/>
    <mergeCell ref="A38:N38"/>
    <mergeCell ref="A39:N39"/>
    <mergeCell ref="K2:K3"/>
    <mergeCell ref="A30:N30"/>
    <mergeCell ref="A31:N31"/>
    <mergeCell ref="A32:N32"/>
    <mergeCell ref="A33:N33"/>
    <mergeCell ref="A34:N34"/>
    <mergeCell ref="A35:N35"/>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7">
    <pageSetUpPr fitToPage="1"/>
  </sheetPr>
  <dimension ref="A1:Q142"/>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7.2851562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1369</v>
      </c>
      <c r="C3" s="10" t="s">
        <v>1370</v>
      </c>
      <c r="D3" s="6"/>
      <c r="E3" s="11"/>
      <c r="F3" s="9"/>
      <c r="G3" s="11"/>
      <c r="H3" s="6"/>
      <c r="I3" s="11"/>
      <c r="J3" s="6"/>
      <c r="K3" s="1734"/>
      <c r="L3" s="6"/>
      <c r="M3" s="11"/>
      <c r="N3" s="6"/>
    </row>
    <row r="4" spans="1:16" s="4" customFormat="1" ht="15.75" x14ac:dyDescent="0.25">
      <c r="A4" s="1" t="s">
        <v>180</v>
      </c>
      <c r="B4" s="10" t="s">
        <v>1303</v>
      </c>
      <c r="C4" s="10" t="s">
        <v>32</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G10" s="87"/>
      <c r="I10" s="87"/>
    </row>
    <row r="11" spans="1:16" s="37" customFormat="1" x14ac:dyDescent="0.2">
      <c r="A11" s="35" t="s">
        <v>1376</v>
      </c>
      <c r="B11" s="36"/>
      <c r="G11" s="87"/>
      <c r="I11" s="87"/>
    </row>
    <row r="12" spans="1:16" s="37" customFormat="1" x14ac:dyDescent="0.2">
      <c r="A12" s="41" t="s">
        <v>1377</v>
      </c>
      <c r="B12" s="36"/>
      <c r="G12" s="87"/>
      <c r="I12" s="87"/>
    </row>
    <row r="13" spans="1:16" s="40" customFormat="1" x14ac:dyDescent="0.2">
      <c r="A13" s="90" t="s">
        <v>1378</v>
      </c>
      <c r="B13" s="39"/>
      <c r="C13" s="449">
        <v>3877207</v>
      </c>
      <c r="E13" s="266">
        <v>3933100</v>
      </c>
      <c r="F13" s="118"/>
      <c r="G13" s="112">
        <v>3950500</v>
      </c>
      <c r="H13" s="118"/>
      <c r="I13" s="112">
        <v>3968000</v>
      </c>
      <c r="J13" s="118"/>
      <c r="K13" s="112">
        <v>3968000</v>
      </c>
      <c r="M13" s="76"/>
    </row>
    <row r="14" spans="1:16" s="40" customFormat="1" x14ac:dyDescent="0.2">
      <c r="A14" s="131" t="s">
        <v>1379</v>
      </c>
      <c r="B14" s="39"/>
      <c r="C14" s="997">
        <v>2171</v>
      </c>
      <c r="E14" s="997">
        <v>2137.4</v>
      </c>
      <c r="F14" s="118"/>
      <c r="G14" s="998">
        <v>2244.4</v>
      </c>
      <c r="H14" s="118"/>
      <c r="I14" s="998">
        <v>2188.1</v>
      </c>
      <c r="J14" s="118"/>
      <c r="K14" s="998">
        <v>2188.1</v>
      </c>
      <c r="M14" s="419"/>
    </row>
    <row r="15" spans="1:16" s="40" customFormat="1" x14ac:dyDescent="0.2">
      <c r="A15" s="131" t="s">
        <v>1380</v>
      </c>
      <c r="B15" s="39"/>
      <c r="C15" s="999">
        <v>2.7E-2</v>
      </c>
      <c r="E15" s="999">
        <v>2.5999999999999999E-2</v>
      </c>
      <c r="F15" s="118"/>
      <c r="G15" s="1000">
        <v>2.7E-2</v>
      </c>
      <c r="H15" s="118"/>
      <c r="I15" s="1000">
        <v>2.5999999999999999E-2</v>
      </c>
      <c r="J15" s="118"/>
      <c r="K15" s="1000">
        <v>2.5999999999999999E-2</v>
      </c>
      <c r="M15" s="1001"/>
    </row>
    <row r="16" spans="1:16" s="40" customFormat="1" x14ac:dyDescent="0.2">
      <c r="A16" s="131" t="s">
        <v>1381</v>
      </c>
      <c r="B16" s="39"/>
      <c r="C16" s="449">
        <v>532730</v>
      </c>
      <c r="E16" s="449">
        <v>537154</v>
      </c>
      <c r="F16" s="118"/>
      <c r="G16" s="112">
        <v>543800</v>
      </c>
      <c r="H16" s="118"/>
      <c r="I16" s="112">
        <v>546700</v>
      </c>
      <c r="J16" s="118"/>
      <c r="K16" s="112">
        <v>546700</v>
      </c>
      <c r="M16" s="76"/>
    </row>
    <row r="17" spans="1:15" s="40" customFormat="1" x14ac:dyDescent="0.2">
      <c r="A17" s="131" t="s">
        <v>1382</v>
      </c>
      <c r="B17" s="39"/>
      <c r="C17" s="1002">
        <v>398</v>
      </c>
      <c r="E17" s="1002">
        <v>414</v>
      </c>
      <c r="F17" s="118"/>
      <c r="G17" s="126">
        <v>411</v>
      </c>
      <c r="H17" s="118"/>
      <c r="I17" s="126">
        <v>420</v>
      </c>
      <c r="J17" s="118"/>
      <c r="K17" s="126">
        <v>420</v>
      </c>
      <c r="M17" s="97"/>
    </row>
    <row r="18" spans="1:15" s="37" customFormat="1" x14ac:dyDescent="0.2">
      <c r="A18" s="123" t="s">
        <v>1383</v>
      </c>
      <c r="B18" s="644"/>
      <c r="C18" s="1003"/>
      <c r="E18" s="469"/>
      <c r="F18" s="141"/>
      <c r="G18" s="402"/>
      <c r="H18" s="141"/>
      <c r="I18" s="402"/>
      <c r="J18" s="141"/>
      <c r="K18" s="141"/>
      <c r="M18" s="108"/>
    </row>
    <row r="19" spans="1:15" s="40" customFormat="1" x14ac:dyDescent="0.2">
      <c r="A19" s="124" t="s">
        <v>1384</v>
      </c>
      <c r="B19" s="117"/>
      <c r="C19" s="449">
        <v>93940</v>
      </c>
      <c r="E19" s="266">
        <v>91144</v>
      </c>
      <c r="F19" s="118"/>
      <c r="G19" s="112">
        <v>94862</v>
      </c>
      <c r="H19" s="118"/>
      <c r="I19" s="112">
        <v>92100</v>
      </c>
      <c r="J19" s="118"/>
      <c r="K19" s="112">
        <v>93370</v>
      </c>
      <c r="M19" s="76"/>
    </row>
    <row r="20" spans="1:15" s="40" customFormat="1" x14ac:dyDescent="0.2">
      <c r="A20" s="94" t="s">
        <v>1385</v>
      </c>
      <c r="B20" s="117"/>
      <c r="C20" s="1002">
        <v>3543</v>
      </c>
      <c r="E20" s="1004">
        <v>3435</v>
      </c>
      <c r="F20" s="118"/>
      <c r="G20" s="126">
        <v>3440</v>
      </c>
      <c r="H20" s="118"/>
      <c r="I20" s="126">
        <v>3408</v>
      </c>
      <c r="J20" s="118"/>
      <c r="K20" s="126">
        <v>3422</v>
      </c>
      <c r="M20" s="97"/>
    </row>
    <row r="21" spans="1:15" s="40" customFormat="1" x14ac:dyDescent="0.2">
      <c r="A21" s="94" t="s">
        <v>1386</v>
      </c>
      <c r="B21" s="117"/>
      <c r="C21" s="1005">
        <v>665.39</v>
      </c>
      <c r="E21" s="1006">
        <v>645.67999999999995</v>
      </c>
      <c r="F21" s="118"/>
      <c r="G21" s="1007">
        <v>654.55999999999995</v>
      </c>
      <c r="H21" s="118"/>
      <c r="I21" s="1007">
        <v>634.17999999999995</v>
      </c>
      <c r="J21" s="118"/>
      <c r="K21" s="1007">
        <v>639.92999999999995</v>
      </c>
      <c r="M21" s="253"/>
    </row>
    <row r="22" spans="1:15" s="37" customFormat="1" x14ac:dyDescent="0.2">
      <c r="A22" s="123" t="s">
        <v>1387</v>
      </c>
      <c r="B22" s="644"/>
      <c r="C22" s="1003"/>
      <c r="E22" s="469"/>
      <c r="F22" s="141"/>
      <c r="G22" s="402"/>
      <c r="H22" s="141"/>
      <c r="I22" s="402"/>
      <c r="J22" s="141"/>
      <c r="K22" s="141"/>
      <c r="M22" s="87"/>
    </row>
    <row r="23" spans="1:15" s="40" customFormat="1" x14ac:dyDescent="0.2">
      <c r="A23" s="124" t="s">
        <v>1378</v>
      </c>
      <c r="B23" s="117"/>
      <c r="C23" s="449">
        <v>2681189</v>
      </c>
      <c r="E23" s="449">
        <v>2719800</v>
      </c>
      <c r="F23" s="118"/>
      <c r="G23" s="112">
        <v>2714100</v>
      </c>
      <c r="H23" s="118"/>
      <c r="I23" s="112">
        <v>2744000</v>
      </c>
      <c r="J23" s="118"/>
      <c r="K23" s="112">
        <v>2763800</v>
      </c>
      <c r="M23" s="76"/>
      <c r="O23" s="77"/>
    </row>
    <row r="24" spans="1:15" s="40" customFormat="1" x14ac:dyDescent="0.2">
      <c r="A24" s="94" t="s">
        <v>1388</v>
      </c>
      <c r="B24" s="117"/>
      <c r="C24" s="449">
        <v>150624</v>
      </c>
      <c r="E24" s="449">
        <v>136437</v>
      </c>
      <c r="F24" s="118"/>
      <c r="G24" s="112">
        <v>147900</v>
      </c>
      <c r="H24" s="118"/>
      <c r="I24" s="112">
        <v>141661</v>
      </c>
      <c r="J24" s="118"/>
      <c r="K24" s="112">
        <v>146300</v>
      </c>
      <c r="M24" s="76"/>
    </row>
    <row r="25" spans="1:15" s="40" customFormat="1" x14ac:dyDescent="0.2">
      <c r="A25" s="94" t="s">
        <v>1389</v>
      </c>
      <c r="B25" s="117"/>
      <c r="C25" s="997">
        <v>417.4</v>
      </c>
      <c r="E25" s="997">
        <v>411.7</v>
      </c>
      <c r="F25" s="118"/>
      <c r="G25" s="998">
        <v>425.8</v>
      </c>
      <c r="H25" s="118"/>
      <c r="I25" s="998">
        <v>396.7</v>
      </c>
      <c r="J25" s="118"/>
      <c r="K25" s="998">
        <v>391.9</v>
      </c>
      <c r="M25" s="419"/>
    </row>
    <row r="26" spans="1:15" s="40" customFormat="1" x14ac:dyDescent="0.2">
      <c r="A26" s="94" t="s">
        <v>1390</v>
      </c>
      <c r="B26" s="117"/>
      <c r="C26" s="1002">
        <v>138</v>
      </c>
      <c r="E26" s="1002">
        <v>145</v>
      </c>
      <c r="F26" s="118"/>
      <c r="G26" s="126">
        <v>142</v>
      </c>
      <c r="H26" s="118"/>
      <c r="I26" s="126">
        <v>148</v>
      </c>
      <c r="J26" s="118"/>
      <c r="K26" s="126">
        <v>153</v>
      </c>
      <c r="M26" s="97"/>
    </row>
    <row r="27" spans="1:15" s="40" customFormat="1" x14ac:dyDescent="0.2">
      <c r="A27" s="94" t="s">
        <v>1382</v>
      </c>
      <c r="B27" s="117"/>
      <c r="C27" s="1002">
        <v>450</v>
      </c>
      <c r="E27" s="1002">
        <v>460</v>
      </c>
      <c r="F27" s="118"/>
      <c r="G27" s="126">
        <v>463</v>
      </c>
      <c r="H27" s="118"/>
      <c r="I27" s="126">
        <v>463</v>
      </c>
      <c r="J27" s="118"/>
      <c r="K27" s="126">
        <v>467</v>
      </c>
      <c r="M27" s="97"/>
    </row>
    <row r="28" spans="1:15" s="37" customFormat="1" x14ac:dyDescent="0.2">
      <c r="A28" s="123" t="s">
        <v>1391</v>
      </c>
      <c r="B28" s="644"/>
      <c r="C28" s="1003"/>
      <c r="E28" s="1003"/>
      <c r="F28" s="141"/>
      <c r="G28" s="402"/>
      <c r="H28" s="141"/>
      <c r="I28" s="402"/>
      <c r="J28" s="141"/>
      <c r="K28" s="402"/>
      <c r="M28" s="87"/>
    </row>
    <row r="29" spans="1:15" s="40" customFormat="1" x14ac:dyDescent="0.2">
      <c r="A29" s="124" t="s">
        <v>1378</v>
      </c>
      <c r="B29" s="117"/>
      <c r="C29" s="449">
        <v>737504</v>
      </c>
      <c r="E29" s="449">
        <v>748100</v>
      </c>
      <c r="F29" s="118"/>
      <c r="G29" s="112">
        <v>745800</v>
      </c>
      <c r="H29" s="118"/>
      <c r="I29" s="112">
        <v>754800</v>
      </c>
      <c r="J29" s="118"/>
      <c r="K29" s="112">
        <v>760200</v>
      </c>
      <c r="M29" s="76"/>
    </row>
    <row r="30" spans="1:15" s="40" customFormat="1" x14ac:dyDescent="0.2">
      <c r="A30" s="94" t="s">
        <v>1392</v>
      </c>
      <c r="B30" s="117"/>
      <c r="C30" s="449">
        <v>6409</v>
      </c>
      <c r="E30" s="449">
        <v>6646</v>
      </c>
      <c r="F30" s="118"/>
      <c r="G30" s="112">
        <v>6600</v>
      </c>
      <c r="H30" s="118"/>
      <c r="I30" s="112">
        <v>6800</v>
      </c>
      <c r="J30" s="118"/>
      <c r="K30" s="112">
        <v>6900</v>
      </c>
      <c r="M30" s="76"/>
    </row>
    <row r="31" spans="1:15" s="40" customFormat="1" ht="12.75" hidden="1" customHeight="1" x14ac:dyDescent="0.2">
      <c r="A31" s="94" t="s">
        <v>1393</v>
      </c>
      <c r="B31" s="117"/>
      <c r="C31" s="1008"/>
      <c r="E31" s="1008"/>
      <c r="F31" s="118"/>
      <c r="G31" s="111"/>
      <c r="H31" s="118"/>
      <c r="I31" s="111"/>
      <c r="J31" s="118"/>
      <c r="K31" s="111"/>
      <c r="M31" s="76"/>
    </row>
    <row r="32" spans="1:15" s="40" customFormat="1" ht="12.75" customHeight="1" x14ac:dyDescent="0.2">
      <c r="A32" s="123" t="s">
        <v>1393</v>
      </c>
      <c r="B32" s="117"/>
      <c r="C32" s="1008"/>
      <c r="E32" s="1008"/>
      <c r="F32" s="118"/>
      <c r="G32" s="111"/>
      <c r="H32" s="118"/>
      <c r="I32" s="111"/>
      <c r="J32" s="118"/>
      <c r="K32" s="111"/>
      <c r="M32" s="76"/>
    </row>
    <row r="33" spans="1:13" s="40" customFormat="1" x14ac:dyDescent="0.2">
      <c r="A33" s="124" t="s">
        <v>1388</v>
      </c>
      <c r="B33" s="117"/>
      <c r="C33" s="449">
        <v>8264</v>
      </c>
      <c r="E33" s="449">
        <v>7761</v>
      </c>
      <c r="F33" s="118"/>
      <c r="G33" s="112">
        <v>8735</v>
      </c>
      <c r="H33" s="118"/>
      <c r="I33" s="112">
        <v>7957</v>
      </c>
      <c r="J33" s="118"/>
      <c r="K33" s="112">
        <v>8015</v>
      </c>
      <c r="M33" s="76"/>
    </row>
    <row r="34" spans="1:13" s="40" customFormat="1" x14ac:dyDescent="0.2">
      <c r="A34" s="94" t="s">
        <v>1389</v>
      </c>
      <c r="B34" s="117"/>
      <c r="C34" s="997">
        <v>19.7</v>
      </c>
      <c r="E34" s="997">
        <v>17.399999999999999</v>
      </c>
      <c r="F34" s="118"/>
      <c r="G34" s="998">
        <v>20.6</v>
      </c>
      <c r="H34" s="118"/>
      <c r="I34" s="998">
        <v>17.2</v>
      </c>
      <c r="J34" s="118"/>
      <c r="K34" s="998">
        <v>17</v>
      </c>
      <c r="M34" s="419"/>
    </row>
    <row r="35" spans="1:13" s="40" customFormat="1" x14ac:dyDescent="0.2">
      <c r="A35" s="94" t="s">
        <v>1390</v>
      </c>
      <c r="B35" s="117"/>
      <c r="C35" s="1002">
        <v>236</v>
      </c>
      <c r="E35" s="1002">
        <v>238</v>
      </c>
      <c r="F35" s="118"/>
      <c r="G35" s="126">
        <v>240</v>
      </c>
      <c r="H35" s="118"/>
      <c r="I35" s="126">
        <v>240</v>
      </c>
      <c r="J35" s="118"/>
      <c r="K35" s="126">
        <v>240</v>
      </c>
      <c r="M35" s="97"/>
    </row>
    <row r="36" spans="1:13" s="37" customFormat="1" x14ac:dyDescent="0.2">
      <c r="A36" s="123" t="s">
        <v>1394</v>
      </c>
      <c r="B36" s="644"/>
      <c r="C36" s="1003"/>
      <c r="E36" s="1003"/>
      <c r="F36" s="141"/>
      <c r="G36" s="402"/>
      <c r="H36" s="141"/>
      <c r="I36" s="402"/>
      <c r="J36" s="141"/>
      <c r="K36" s="402"/>
      <c r="M36" s="87"/>
    </row>
    <row r="37" spans="1:13" s="37" customFormat="1" x14ac:dyDescent="0.2">
      <c r="A37" s="1009" t="s">
        <v>1395</v>
      </c>
      <c r="B37" s="644"/>
      <c r="C37" s="1003"/>
      <c r="E37" s="1003"/>
      <c r="F37" s="141"/>
      <c r="G37" s="402"/>
      <c r="H37" s="141"/>
      <c r="I37" s="402"/>
      <c r="J37" s="141"/>
      <c r="K37" s="402"/>
      <c r="M37" s="87"/>
    </row>
    <row r="38" spans="1:13" s="40" customFormat="1" x14ac:dyDescent="0.2">
      <c r="A38" s="124" t="s">
        <v>1378</v>
      </c>
      <c r="B38" s="117"/>
      <c r="C38" s="449">
        <v>3864600</v>
      </c>
      <c r="E38" s="449">
        <v>3917900</v>
      </c>
      <c r="F38" s="118"/>
      <c r="G38" s="112">
        <v>3937000</v>
      </c>
      <c r="H38" s="118"/>
      <c r="I38" s="112">
        <v>3952500</v>
      </c>
      <c r="J38" s="118"/>
      <c r="K38" s="112">
        <v>3980900</v>
      </c>
      <c r="M38" s="76"/>
    </row>
    <row r="39" spans="1:13" s="40" customFormat="1" x14ac:dyDescent="0.2">
      <c r="A39" s="94" t="s">
        <v>1388</v>
      </c>
      <c r="B39" s="117"/>
      <c r="C39" s="449">
        <v>48256</v>
      </c>
      <c r="E39" s="449">
        <v>44215</v>
      </c>
      <c r="F39" s="118"/>
      <c r="G39" s="112">
        <v>51100</v>
      </c>
      <c r="H39" s="118"/>
      <c r="I39" s="112">
        <v>51100</v>
      </c>
      <c r="J39" s="118"/>
      <c r="K39" s="112">
        <v>53600</v>
      </c>
      <c r="M39" s="76"/>
    </row>
    <row r="40" spans="1:13" s="40" customFormat="1" x14ac:dyDescent="0.2">
      <c r="A40" s="94" t="s">
        <v>1389</v>
      </c>
      <c r="B40" s="117"/>
      <c r="C40" s="997">
        <v>89.2</v>
      </c>
      <c r="E40" s="997">
        <v>88.1</v>
      </c>
      <c r="F40" s="118"/>
      <c r="G40" s="998">
        <v>95.4</v>
      </c>
      <c r="H40" s="118"/>
      <c r="I40" s="998">
        <v>90.8</v>
      </c>
      <c r="J40" s="118"/>
      <c r="K40" s="998">
        <v>92.6</v>
      </c>
      <c r="M40" s="419"/>
    </row>
    <row r="41" spans="1:13" s="40" customFormat="1" x14ac:dyDescent="0.2">
      <c r="A41" s="94" t="s">
        <v>1390</v>
      </c>
      <c r="B41" s="117"/>
      <c r="C41" s="1002">
        <v>35</v>
      </c>
      <c r="E41" s="1002">
        <v>39</v>
      </c>
      <c r="F41" s="118"/>
      <c r="G41" s="126">
        <v>40</v>
      </c>
      <c r="H41" s="118"/>
      <c r="I41" s="126">
        <v>41</v>
      </c>
      <c r="J41" s="118"/>
      <c r="K41" s="126">
        <v>43</v>
      </c>
      <c r="M41" s="97"/>
    </row>
    <row r="42" spans="1:13" s="40" customFormat="1" x14ac:dyDescent="0.2">
      <c r="A42" s="1009" t="s">
        <v>1396</v>
      </c>
      <c r="B42" s="117"/>
      <c r="C42" s="1008"/>
      <c r="E42" s="1008"/>
      <c r="F42" s="118"/>
      <c r="G42" s="111"/>
      <c r="H42" s="118"/>
      <c r="I42" s="111"/>
      <c r="J42" s="118"/>
      <c r="K42" s="111"/>
      <c r="M42" s="97"/>
    </row>
    <row r="43" spans="1:13" s="40" customFormat="1" x14ac:dyDescent="0.2">
      <c r="A43" s="124" t="s">
        <v>1378</v>
      </c>
      <c r="B43" s="117"/>
      <c r="C43" s="449">
        <v>12616</v>
      </c>
      <c r="E43" s="449">
        <v>15233</v>
      </c>
      <c r="F43" s="118"/>
      <c r="G43" s="112">
        <v>13500</v>
      </c>
      <c r="H43" s="118"/>
      <c r="I43" s="112">
        <v>15500</v>
      </c>
      <c r="J43" s="118"/>
      <c r="K43" s="112">
        <v>15750</v>
      </c>
      <c r="M43" s="76"/>
    </row>
    <row r="44" spans="1:13" s="40" customFormat="1" x14ac:dyDescent="0.2">
      <c r="A44" s="94" t="s">
        <v>1392</v>
      </c>
      <c r="B44" s="117"/>
      <c r="C44" s="449">
        <v>113</v>
      </c>
      <c r="E44" s="449">
        <v>117</v>
      </c>
      <c r="F44" s="118"/>
      <c r="G44" s="112">
        <v>125</v>
      </c>
      <c r="H44" s="118"/>
      <c r="I44" s="112">
        <v>120</v>
      </c>
      <c r="J44" s="118"/>
      <c r="K44" s="112">
        <v>123</v>
      </c>
      <c r="M44" s="76"/>
    </row>
    <row r="45" spans="1:13" s="37" customFormat="1" x14ac:dyDescent="0.2">
      <c r="A45" s="35" t="s">
        <v>1397</v>
      </c>
      <c r="B45" s="36"/>
      <c r="C45" s="1003"/>
      <c r="E45" s="469"/>
      <c r="F45" s="141"/>
      <c r="G45" s="402"/>
      <c r="H45" s="141"/>
      <c r="I45" s="402"/>
      <c r="J45" s="141"/>
      <c r="K45" s="141"/>
      <c r="M45" s="87"/>
    </row>
    <row r="46" spans="1:13" s="40" customFormat="1" x14ac:dyDescent="0.2">
      <c r="A46" s="41" t="s">
        <v>1398</v>
      </c>
      <c r="B46" s="39"/>
      <c r="C46" s="449">
        <v>142390</v>
      </c>
      <c r="E46" s="449">
        <v>140334</v>
      </c>
      <c r="F46" s="902"/>
      <c r="G46" s="112">
        <v>143094</v>
      </c>
      <c r="H46" s="902"/>
      <c r="I46" s="112">
        <v>147132</v>
      </c>
      <c r="J46" s="902"/>
      <c r="K46" s="112">
        <v>140346</v>
      </c>
      <c r="M46" s="76"/>
    </row>
    <row r="47" spans="1:13" s="40" customFormat="1" x14ac:dyDescent="0.2">
      <c r="A47" s="90" t="s">
        <v>1399</v>
      </c>
      <c r="B47" s="39"/>
      <c r="C47" s="449">
        <v>100086</v>
      </c>
      <c r="E47" s="449">
        <f>C50</f>
        <v>102462</v>
      </c>
      <c r="F47" s="149"/>
      <c r="G47" s="112">
        <v>100403</v>
      </c>
      <c r="H47" s="118"/>
      <c r="I47" s="112">
        <f>E50</f>
        <v>103353</v>
      </c>
      <c r="J47" s="118"/>
      <c r="K47" s="112">
        <f>I50</f>
        <v>103413</v>
      </c>
      <c r="M47" s="76"/>
    </row>
    <row r="48" spans="1:13" s="40" customFormat="1" x14ac:dyDescent="0.2">
      <c r="A48" s="90" t="s">
        <v>1400</v>
      </c>
      <c r="B48" s="39"/>
      <c r="C48" s="449">
        <v>41355</v>
      </c>
      <c r="E48" s="449">
        <v>42673</v>
      </c>
      <c r="F48" s="902"/>
      <c r="G48" s="112">
        <v>41169</v>
      </c>
      <c r="H48" s="902"/>
      <c r="I48" s="112">
        <v>40780</v>
      </c>
      <c r="J48" s="902"/>
      <c r="K48" s="112">
        <v>41313</v>
      </c>
      <c r="M48" s="76"/>
    </row>
    <row r="49" spans="1:13" s="40" customFormat="1" x14ac:dyDescent="0.2">
      <c r="A49" s="90" t="s">
        <v>1401</v>
      </c>
      <c r="B49" s="39"/>
      <c r="C49" s="449">
        <v>38979</v>
      </c>
      <c r="E49" s="449">
        <v>41782</v>
      </c>
      <c r="F49" s="902"/>
      <c r="G49" s="112">
        <v>39210</v>
      </c>
      <c r="H49" s="902"/>
      <c r="I49" s="112">
        <v>40720</v>
      </c>
      <c r="J49" s="902"/>
      <c r="K49" s="112">
        <v>39853</v>
      </c>
      <c r="M49" s="76"/>
    </row>
    <row r="50" spans="1:13" s="40" customFormat="1" x14ac:dyDescent="0.2">
      <c r="A50" s="90" t="s">
        <v>1402</v>
      </c>
      <c r="B50" s="39"/>
      <c r="C50" s="449">
        <f>C47+C48-C49</f>
        <v>102462</v>
      </c>
      <c r="E50" s="449">
        <f>E47+E48-E49</f>
        <v>103353</v>
      </c>
      <c r="F50" s="118"/>
      <c r="G50" s="449">
        <f t="shared" ref="G50" si="0">G47+G48-G49</f>
        <v>102362</v>
      </c>
      <c r="H50" s="118"/>
      <c r="I50" s="449">
        <f>I47+I48-I49</f>
        <v>103413</v>
      </c>
      <c r="J50" s="118"/>
      <c r="K50" s="449">
        <f t="shared" ref="K50" si="1">K47+K48-K49</f>
        <v>104873</v>
      </c>
      <c r="M50" s="76"/>
    </row>
    <row r="51" spans="1:13" s="37" customFormat="1" x14ac:dyDescent="0.2">
      <c r="A51" s="35" t="s">
        <v>1403</v>
      </c>
      <c r="B51" s="36"/>
      <c r="C51" s="1003"/>
      <c r="E51" s="469"/>
      <c r="F51" s="141"/>
      <c r="G51" s="402"/>
      <c r="H51" s="141"/>
      <c r="I51" s="402"/>
      <c r="J51" s="141"/>
      <c r="K51" s="1010"/>
      <c r="M51" s="616"/>
    </row>
    <row r="52" spans="1:13" s="40" customFormat="1" x14ac:dyDescent="0.2">
      <c r="A52" s="41" t="s">
        <v>1404</v>
      </c>
      <c r="B52" s="39"/>
      <c r="C52" s="449">
        <v>3453</v>
      </c>
      <c r="E52" s="266">
        <f>C55</f>
        <v>3270</v>
      </c>
      <c r="F52" s="118"/>
      <c r="G52" s="112">
        <v>2215</v>
      </c>
      <c r="H52" s="118"/>
      <c r="I52" s="112">
        <f>E55</f>
        <v>3055</v>
      </c>
      <c r="J52" s="118"/>
      <c r="K52" s="112">
        <f>I55</f>
        <v>2895</v>
      </c>
      <c r="M52" s="76"/>
    </row>
    <row r="53" spans="1:13" s="40" customFormat="1" x14ac:dyDescent="0.2">
      <c r="A53" s="90" t="s">
        <v>1405</v>
      </c>
      <c r="B53" s="39"/>
      <c r="C53" s="1011">
        <v>765</v>
      </c>
      <c r="E53" s="1012">
        <v>687</v>
      </c>
      <c r="F53" s="118"/>
      <c r="G53" s="1013">
        <v>751</v>
      </c>
      <c r="H53" s="118"/>
      <c r="I53" s="1013">
        <v>624</v>
      </c>
      <c r="J53" s="118"/>
      <c r="K53" s="1013">
        <v>692</v>
      </c>
      <c r="M53" s="577"/>
    </row>
    <row r="54" spans="1:13" s="40" customFormat="1" x14ac:dyDescent="0.2">
      <c r="A54" s="90" t="s">
        <v>1406</v>
      </c>
      <c r="B54" s="39"/>
      <c r="C54" s="449">
        <v>948</v>
      </c>
      <c r="E54" s="266">
        <v>902</v>
      </c>
      <c r="F54" s="118"/>
      <c r="G54" s="112">
        <v>986</v>
      </c>
      <c r="H54" s="118"/>
      <c r="I54" s="112">
        <v>784</v>
      </c>
      <c r="J54" s="118"/>
      <c r="K54" s="112">
        <v>884</v>
      </c>
      <c r="M54" s="76"/>
    </row>
    <row r="55" spans="1:13" s="40" customFormat="1" x14ac:dyDescent="0.2">
      <c r="A55" s="90" t="s">
        <v>1407</v>
      </c>
      <c r="B55" s="39"/>
      <c r="C55" s="449">
        <f>C52+C53-C54</f>
        <v>3270</v>
      </c>
      <c r="E55" s="266">
        <f>E52+E53-E54</f>
        <v>3055</v>
      </c>
      <c r="F55" s="118"/>
      <c r="G55" s="112">
        <v>1980</v>
      </c>
      <c r="H55" s="118"/>
      <c r="I55" s="112">
        <f>I52+I53-I54</f>
        <v>2895</v>
      </c>
      <c r="J55" s="118"/>
      <c r="K55" s="112">
        <f>K52+K53-K54</f>
        <v>2703</v>
      </c>
      <c r="M55" s="76"/>
    </row>
    <row r="56" spans="1:13" s="40" customFormat="1" x14ac:dyDescent="0.2">
      <c r="A56" s="90" t="s">
        <v>1408</v>
      </c>
      <c r="B56" s="39"/>
      <c r="C56" s="449">
        <v>9756</v>
      </c>
      <c r="E56" s="266">
        <v>9514</v>
      </c>
      <c r="F56" s="118"/>
      <c r="G56" s="112">
        <v>9417</v>
      </c>
      <c r="H56" s="118"/>
      <c r="I56" s="112">
        <v>9216</v>
      </c>
      <c r="J56" s="118"/>
      <c r="K56" s="112">
        <v>9495</v>
      </c>
      <c r="M56" s="76"/>
    </row>
    <row r="57" spans="1:13" s="40" customFormat="1" x14ac:dyDescent="0.2">
      <c r="A57" s="90"/>
      <c r="B57" s="39"/>
      <c r="E57" s="118"/>
      <c r="F57" s="118"/>
      <c r="G57" s="118"/>
      <c r="H57" s="118"/>
      <c r="I57" s="118"/>
      <c r="J57" s="118"/>
      <c r="K57" s="118"/>
      <c r="M57" s="63"/>
    </row>
    <row r="58" spans="1:13" s="37" customFormat="1" x14ac:dyDescent="0.2">
      <c r="A58" s="35" t="s">
        <v>194</v>
      </c>
      <c r="B58" s="36"/>
      <c r="E58" s="141"/>
      <c r="F58" s="141"/>
      <c r="G58" s="141"/>
      <c r="H58" s="141"/>
      <c r="I58" s="141"/>
      <c r="J58" s="141"/>
      <c r="K58" s="141"/>
      <c r="M58" s="87"/>
    </row>
    <row r="59" spans="1:13" s="37" customFormat="1" x14ac:dyDescent="0.2">
      <c r="A59" s="35" t="s">
        <v>195</v>
      </c>
      <c r="B59" s="36"/>
      <c r="E59" s="141"/>
      <c r="F59" s="141"/>
      <c r="G59" s="141"/>
      <c r="H59" s="141"/>
      <c r="I59" s="141"/>
      <c r="J59" s="141"/>
      <c r="K59" s="141"/>
      <c r="M59" s="87"/>
    </row>
    <row r="60" spans="1:13" s="40" customFormat="1" x14ac:dyDescent="0.2">
      <c r="A60" s="38" t="s">
        <v>196</v>
      </c>
      <c r="B60" s="39"/>
      <c r="E60" s="118"/>
      <c r="F60" s="118"/>
      <c r="G60" s="118"/>
      <c r="H60" s="118"/>
      <c r="I60" s="118"/>
      <c r="J60" s="118"/>
      <c r="K60" s="118"/>
      <c r="M60" s="63"/>
    </row>
    <row r="61" spans="1:13" s="40" customFormat="1" x14ac:dyDescent="0.2">
      <c r="A61" s="41" t="s">
        <v>261</v>
      </c>
      <c r="B61" s="39"/>
      <c r="C61" s="1014">
        <v>1161</v>
      </c>
      <c r="E61" s="433">
        <v>1139</v>
      </c>
      <c r="F61" s="118"/>
      <c r="G61" s="433">
        <v>1138</v>
      </c>
      <c r="H61" s="118"/>
      <c r="I61" s="433">
        <v>1070</v>
      </c>
      <c r="J61" s="118"/>
      <c r="K61" s="1015">
        <v>1073</v>
      </c>
      <c r="M61" s="43"/>
    </row>
    <row r="62" spans="1:13" s="40" customFormat="1" x14ac:dyDescent="0.2">
      <c r="A62" s="41" t="s">
        <v>262</v>
      </c>
      <c r="B62" s="39"/>
      <c r="C62" s="1015">
        <v>302</v>
      </c>
      <c r="D62" s="1015"/>
      <c r="E62" s="1015">
        <v>293</v>
      </c>
      <c r="F62" s="118"/>
      <c r="G62" s="433">
        <v>303</v>
      </c>
      <c r="H62" s="118"/>
      <c r="I62" s="433">
        <v>300</v>
      </c>
      <c r="J62" s="118"/>
      <c r="K62" s="1015">
        <v>303</v>
      </c>
      <c r="M62" s="43"/>
    </row>
    <row r="63" spans="1:13" s="40" customFormat="1" x14ac:dyDescent="0.2">
      <c r="A63" s="41" t="s">
        <v>198</v>
      </c>
      <c r="B63" s="39"/>
      <c r="C63" s="996">
        <f>SUM(C61:C62)</f>
        <v>1463</v>
      </c>
      <c r="D63" s="996"/>
      <c r="E63" s="1015">
        <f>SUM(E61:E62)</f>
        <v>1432</v>
      </c>
      <c r="F63" s="118"/>
      <c r="G63" s="433">
        <f>SUM(G61:G62)</f>
        <v>1441</v>
      </c>
      <c r="H63" s="118"/>
      <c r="I63" s="433">
        <f>SUM(I61:I62)</f>
        <v>1370</v>
      </c>
      <c r="J63" s="118"/>
      <c r="K63" s="1015">
        <f>SUM(K61:K62)</f>
        <v>1376</v>
      </c>
      <c r="M63" s="43"/>
    </row>
    <row r="64" spans="1:13" s="40" customFormat="1" x14ac:dyDescent="0.2">
      <c r="A64" s="38" t="s">
        <v>199</v>
      </c>
      <c r="B64" s="39"/>
      <c r="C64" s="1014"/>
      <c r="E64" s="118"/>
      <c r="F64" s="118"/>
      <c r="G64" s="118"/>
      <c r="H64" s="118"/>
      <c r="I64" s="118"/>
      <c r="J64" s="118"/>
      <c r="K64" s="1015"/>
      <c r="M64" s="1016"/>
    </row>
    <row r="65" spans="1:17" s="40" customFormat="1" x14ac:dyDescent="0.2">
      <c r="A65" s="41" t="s">
        <v>1376</v>
      </c>
      <c r="B65" s="39"/>
      <c r="C65" s="1014">
        <v>855</v>
      </c>
      <c r="E65" s="433">
        <v>834</v>
      </c>
      <c r="F65" s="118"/>
      <c r="G65" s="433">
        <v>833</v>
      </c>
      <c r="H65" s="118"/>
      <c r="I65" s="433">
        <v>779</v>
      </c>
      <c r="J65" s="118"/>
      <c r="K65" s="1015">
        <v>780</v>
      </c>
      <c r="M65" s="43"/>
    </row>
    <row r="66" spans="1:17" s="40" customFormat="1" x14ac:dyDescent="0.2">
      <c r="A66" s="41" t="s">
        <v>1383</v>
      </c>
      <c r="B66" s="39"/>
      <c r="C66" s="1014">
        <v>306</v>
      </c>
      <c r="E66" s="433">
        <v>305</v>
      </c>
      <c r="F66" s="118"/>
      <c r="G66" s="433">
        <v>305</v>
      </c>
      <c r="H66" s="118"/>
      <c r="I66" s="433">
        <v>291</v>
      </c>
      <c r="J66" s="118"/>
      <c r="K66" s="1015">
        <v>293</v>
      </c>
      <c r="M66" s="43"/>
    </row>
    <row r="67" spans="1:17" s="40" customFormat="1" x14ac:dyDescent="0.2">
      <c r="A67" s="41" t="s">
        <v>1387</v>
      </c>
      <c r="B67" s="39"/>
      <c r="C67" s="1014">
        <v>125</v>
      </c>
      <c r="E67" s="433">
        <v>129</v>
      </c>
      <c r="F67" s="118"/>
      <c r="G67" s="433">
        <v>133</v>
      </c>
      <c r="H67" s="118"/>
      <c r="I67" s="433">
        <v>129</v>
      </c>
      <c r="J67" s="118"/>
      <c r="K67" s="1015">
        <v>130</v>
      </c>
      <c r="M67" s="43"/>
    </row>
    <row r="68" spans="1:17" s="40" customFormat="1" x14ac:dyDescent="0.2">
      <c r="A68" s="41" t="s">
        <v>1391</v>
      </c>
      <c r="B68" s="39"/>
      <c r="C68" s="1014">
        <v>43</v>
      </c>
      <c r="E68" s="433">
        <v>46</v>
      </c>
      <c r="F68" s="118"/>
      <c r="G68" s="433">
        <v>47</v>
      </c>
      <c r="H68" s="118"/>
      <c r="I68" s="433">
        <v>47</v>
      </c>
      <c r="J68" s="118"/>
      <c r="K68" s="1015">
        <v>48</v>
      </c>
      <c r="M68" s="43"/>
    </row>
    <row r="69" spans="1:17" s="40" customFormat="1" x14ac:dyDescent="0.2">
      <c r="A69" s="41" t="s">
        <v>1409</v>
      </c>
      <c r="B69" s="39"/>
      <c r="C69" s="1014">
        <v>120</v>
      </c>
      <c r="E69" s="433">
        <v>104</v>
      </c>
      <c r="F69" s="118"/>
      <c r="G69" s="433">
        <v>109</v>
      </c>
      <c r="H69" s="118"/>
      <c r="I69" s="433">
        <v>114</v>
      </c>
      <c r="J69" s="118"/>
      <c r="K69" s="1015">
        <v>115</v>
      </c>
      <c r="M69" s="43"/>
    </row>
    <row r="70" spans="1:17" s="40" customFormat="1" x14ac:dyDescent="0.2">
      <c r="A70" s="41" t="s">
        <v>1403</v>
      </c>
      <c r="B70" s="39"/>
      <c r="C70" s="1014">
        <v>14</v>
      </c>
      <c r="E70" s="433">
        <v>14</v>
      </c>
      <c r="F70" s="118"/>
      <c r="G70" s="433">
        <v>14</v>
      </c>
      <c r="H70" s="118"/>
      <c r="I70" s="433">
        <v>10</v>
      </c>
      <c r="J70" s="118"/>
      <c r="K70" s="1015">
        <v>10</v>
      </c>
      <c r="M70" s="43"/>
    </row>
    <row r="71" spans="1:17" s="40" customFormat="1" x14ac:dyDescent="0.2">
      <c r="A71" s="41" t="s">
        <v>198</v>
      </c>
      <c r="B71" s="39"/>
      <c r="C71" s="1017">
        <f>SUM(C65:C70)</f>
        <v>1463</v>
      </c>
      <c r="E71" s="433">
        <f>SUM(E65:E70)</f>
        <v>1432</v>
      </c>
      <c r="F71" s="118"/>
      <c r="G71" s="433">
        <f>SUM(G65:G70)</f>
        <v>1441</v>
      </c>
      <c r="H71" s="118"/>
      <c r="I71" s="433">
        <f>SUM(I65:I70)</f>
        <v>1370</v>
      </c>
      <c r="J71" s="118"/>
      <c r="K71" s="1015">
        <f>SUM(K65:K70)</f>
        <v>1376</v>
      </c>
      <c r="M71" s="43"/>
    </row>
    <row r="72" spans="1:17" s="37" customFormat="1" x14ac:dyDescent="0.2">
      <c r="A72" s="35"/>
      <c r="B72" s="36"/>
      <c r="C72" s="1014"/>
    </row>
    <row r="73" spans="1:17" s="48" customFormat="1" x14ac:dyDescent="0.2">
      <c r="A73" s="46"/>
      <c r="B73" s="47"/>
    </row>
    <row r="74" spans="1:17" s="48" customFormat="1" x14ac:dyDescent="0.2">
      <c r="A74" s="49" t="s">
        <v>200</v>
      </c>
      <c r="B74" s="50"/>
      <c r="C74" s="51"/>
      <c r="D74" s="52"/>
      <c r="E74" s="53"/>
      <c r="F74" s="52"/>
      <c r="G74" s="53"/>
      <c r="H74" s="52"/>
      <c r="I74" s="53"/>
      <c r="J74" s="52"/>
      <c r="K74" s="53"/>
      <c r="L74" s="52"/>
      <c r="M74" s="51"/>
      <c r="N74" s="52"/>
    </row>
    <row r="75" spans="1:17" ht="27" customHeight="1" x14ac:dyDescent="0.2">
      <c r="A75" s="1738" t="s">
        <v>762</v>
      </c>
      <c r="B75" s="1736"/>
      <c r="C75" s="1737"/>
      <c r="D75" s="1736"/>
      <c r="E75" s="1737"/>
      <c r="F75" s="1736"/>
      <c r="G75" s="1737"/>
      <c r="H75" s="1736"/>
      <c r="I75" s="1737"/>
      <c r="J75" s="1736"/>
      <c r="K75" s="1737"/>
      <c r="L75" s="1736"/>
      <c r="M75" s="1737"/>
      <c r="N75" s="1736"/>
      <c r="O75" s="54"/>
      <c r="P75" s="54"/>
      <c r="Q75" s="951"/>
    </row>
    <row r="76" spans="1:17" x14ac:dyDescent="0.2">
      <c r="A76" s="1800" t="s">
        <v>1410</v>
      </c>
      <c r="B76" s="1800"/>
      <c r="C76" s="1800"/>
      <c r="D76" s="1800"/>
      <c r="E76" s="1800"/>
      <c r="F76" s="1800"/>
      <c r="G76" s="1800"/>
      <c r="H76" s="1800"/>
      <c r="I76" s="1800"/>
      <c r="J76" s="1800"/>
      <c r="K76" s="1800"/>
      <c r="L76" s="1800"/>
      <c r="M76" s="1800"/>
      <c r="N76" s="1800"/>
      <c r="O76" s="54"/>
      <c r="P76" s="54"/>
      <c r="Q76" s="951"/>
    </row>
    <row r="77" spans="1:17" s="1020" customFormat="1" x14ac:dyDescent="0.2">
      <c r="A77" s="1018" t="s">
        <v>1411</v>
      </c>
      <c r="B77" s="1019"/>
      <c r="C77" s="1019"/>
      <c r="D77" s="1019"/>
      <c r="E77" s="1019"/>
      <c r="F77" s="1019"/>
      <c r="G77" s="1019"/>
      <c r="H77" s="1019"/>
      <c r="I77" s="1019"/>
      <c r="J77" s="1019"/>
      <c r="K77" s="1019"/>
      <c r="L77" s="1019"/>
      <c r="M77" s="1019"/>
      <c r="N77" s="1019"/>
      <c r="O77" s="54"/>
      <c r="P77" s="54"/>
      <c r="Q77" s="951"/>
    </row>
    <row r="78" spans="1:17" x14ac:dyDescent="0.2">
      <c r="A78" s="1021"/>
      <c r="B78" s="54"/>
      <c r="C78" s="56"/>
      <c r="D78" s="54"/>
      <c r="E78" s="56"/>
      <c r="F78" s="54"/>
      <c r="G78" s="56"/>
      <c r="H78" s="54"/>
      <c r="I78" s="56"/>
      <c r="J78" s="54"/>
      <c r="K78" s="56"/>
      <c r="L78" s="54"/>
      <c r="M78" s="56"/>
      <c r="N78" s="54"/>
      <c r="O78" s="54"/>
      <c r="P78" s="54"/>
    </row>
    <row r="79" spans="1:17" ht="27.75" customHeight="1" x14ac:dyDescent="0.2">
      <c r="A79" s="1735"/>
      <c r="B79" s="1736"/>
      <c r="C79" s="1737"/>
      <c r="D79" s="1736"/>
      <c r="E79" s="1737"/>
      <c r="F79" s="1736"/>
      <c r="G79" s="1737"/>
      <c r="H79" s="1736"/>
      <c r="I79" s="1737"/>
      <c r="J79" s="1736"/>
      <c r="K79" s="1737"/>
      <c r="L79" s="1736"/>
      <c r="M79" s="1737"/>
      <c r="N79" s="1736"/>
      <c r="O79" s="54"/>
      <c r="P79" s="54"/>
    </row>
    <row r="80" spans="1:17" ht="27.75" customHeight="1" x14ac:dyDescent="0.2">
      <c r="A80" s="1735"/>
      <c r="B80" s="1736"/>
      <c r="C80" s="1737"/>
      <c r="D80" s="1736"/>
      <c r="E80" s="1737"/>
      <c r="F80" s="1736"/>
      <c r="G80" s="1737"/>
      <c r="H80" s="1736"/>
      <c r="I80" s="1737"/>
      <c r="J80" s="1736"/>
      <c r="K80" s="1737"/>
      <c r="L80" s="1736"/>
      <c r="M80" s="1737"/>
      <c r="N80" s="1736"/>
      <c r="O80" s="54"/>
      <c r="P80" s="54"/>
    </row>
    <row r="81" spans="1:17" ht="27.75" customHeight="1" x14ac:dyDescent="0.2">
      <c r="A81" s="1735"/>
      <c r="B81" s="1736"/>
      <c r="C81" s="1737"/>
      <c r="D81" s="1736"/>
      <c r="E81" s="1737"/>
      <c r="F81" s="1736"/>
      <c r="G81" s="1737"/>
      <c r="H81" s="1736"/>
      <c r="I81" s="1737"/>
      <c r="J81" s="1736"/>
      <c r="K81" s="1737"/>
      <c r="L81" s="1736"/>
      <c r="M81" s="1737"/>
      <c r="N81" s="1736"/>
      <c r="O81" s="54"/>
      <c r="P81" s="54"/>
    </row>
    <row r="82" spans="1:17" ht="27.75" customHeight="1" x14ac:dyDescent="0.2">
      <c r="A82" s="1735"/>
      <c r="B82" s="1736"/>
      <c r="C82" s="1737"/>
      <c r="D82" s="1736"/>
      <c r="E82" s="1737"/>
      <c r="F82" s="1736"/>
      <c r="G82" s="1737"/>
      <c r="H82" s="1736"/>
      <c r="I82" s="1737"/>
      <c r="J82" s="1736"/>
      <c r="K82" s="1737"/>
      <c r="L82" s="1736"/>
      <c r="M82" s="1737"/>
      <c r="N82" s="1736"/>
      <c r="O82" s="54"/>
      <c r="P82" s="54"/>
    </row>
    <row r="83" spans="1:17" ht="27.75" customHeight="1" x14ac:dyDescent="0.2">
      <c r="A83" s="1735"/>
      <c r="B83" s="1736"/>
      <c r="C83" s="1737"/>
      <c r="D83" s="1736"/>
      <c r="E83" s="1737"/>
      <c r="F83" s="1736"/>
      <c r="G83" s="1737"/>
      <c r="H83" s="1736"/>
      <c r="I83" s="1737"/>
      <c r="J83" s="1736"/>
      <c r="K83" s="1737"/>
      <c r="L83" s="1736"/>
      <c r="M83" s="1737"/>
      <c r="N83" s="1736"/>
      <c r="O83" s="54"/>
      <c r="P83" s="54"/>
    </row>
    <row r="84" spans="1:17" x14ac:dyDescent="0.2">
      <c r="A84" s="55"/>
      <c r="B84" s="54"/>
      <c r="C84" s="56"/>
      <c r="D84" s="54"/>
      <c r="E84" s="56"/>
      <c r="F84" s="54"/>
      <c r="G84" s="56"/>
      <c r="H84" s="54"/>
      <c r="I84" s="56"/>
      <c r="J84" s="54"/>
      <c r="K84" s="56"/>
      <c r="L84" s="54"/>
      <c r="M84" s="56"/>
      <c r="N84" s="54"/>
      <c r="O84" s="54"/>
      <c r="P84" s="54"/>
    </row>
    <row r="85" spans="1:17" x14ac:dyDescent="0.2">
      <c r="A85" s="55"/>
      <c r="B85" s="54"/>
      <c r="C85" s="107"/>
      <c r="D85" s="54"/>
      <c r="E85" s="107"/>
      <c r="F85" s="54"/>
      <c r="G85" s="107"/>
      <c r="H85" s="54"/>
      <c r="I85" s="107"/>
      <c r="J85" s="54"/>
      <c r="K85" s="107"/>
      <c r="L85" s="54"/>
      <c r="M85" s="107"/>
      <c r="N85" s="54"/>
      <c r="O85" s="54"/>
      <c r="P85" s="54"/>
    </row>
    <row r="86" spans="1:17" x14ac:dyDescent="0.2">
      <c r="A86" s="55"/>
      <c r="B86" s="54"/>
      <c r="C86" s="56"/>
      <c r="D86" s="54"/>
      <c r="E86" s="56"/>
      <c r="F86" s="54"/>
      <c r="G86" s="56"/>
      <c r="H86" s="54"/>
      <c r="I86" s="56"/>
      <c r="J86" s="54"/>
      <c r="K86" s="56"/>
      <c r="L86" s="54"/>
      <c r="M86" s="56"/>
      <c r="N86" s="54"/>
      <c r="O86" s="54"/>
      <c r="P86" s="54"/>
    </row>
    <row r="87" spans="1:17" x14ac:dyDescent="0.2">
      <c r="A87" s="55"/>
      <c r="B87" s="54"/>
      <c r="C87" s="107"/>
      <c r="D87" s="54"/>
      <c r="E87" s="107"/>
      <c r="F87" s="54"/>
      <c r="G87" s="107"/>
      <c r="H87" s="54"/>
      <c r="I87" s="107"/>
      <c r="J87" s="54"/>
      <c r="K87" s="107"/>
      <c r="L87" s="54"/>
      <c r="M87" s="107"/>
      <c r="N87" s="54"/>
      <c r="O87" s="54"/>
      <c r="P87" s="54"/>
    </row>
    <row r="88" spans="1:17" x14ac:dyDescent="0.2">
      <c r="A88" s="55"/>
      <c r="B88" s="54"/>
      <c r="C88" s="56"/>
      <c r="D88" s="54"/>
      <c r="E88" s="56"/>
      <c r="F88" s="54"/>
      <c r="G88" s="56"/>
      <c r="H88" s="54"/>
      <c r="I88" s="56"/>
      <c r="J88" s="54"/>
      <c r="K88" s="56"/>
      <c r="L88" s="54"/>
      <c r="M88" s="56"/>
      <c r="N88" s="54"/>
      <c r="O88" s="54"/>
      <c r="P88" s="54"/>
    </row>
    <row r="89" spans="1:17" x14ac:dyDescent="0.2">
      <c r="A89" s="55"/>
      <c r="B89" s="54"/>
      <c r="C89" s="107"/>
      <c r="D89" s="54"/>
      <c r="E89" s="107"/>
      <c r="F89" s="54"/>
      <c r="G89" s="107"/>
      <c r="H89" s="54"/>
      <c r="I89" s="107"/>
      <c r="J89" s="54"/>
      <c r="K89" s="107"/>
      <c r="L89" s="54"/>
      <c r="M89" s="107"/>
      <c r="N89" s="54"/>
      <c r="O89" s="54"/>
      <c r="P89" s="54"/>
    </row>
    <row r="90" spans="1:17" x14ac:dyDescent="0.2">
      <c r="A90" s="55"/>
      <c r="B90" s="54"/>
      <c r="C90" s="107"/>
      <c r="D90" s="54"/>
      <c r="E90" s="107"/>
      <c r="F90" s="54"/>
      <c r="G90" s="107"/>
      <c r="H90" s="54"/>
      <c r="I90" s="107"/>
      <c r="J90" s="54"/>
      <c r="K90" s="107"/>
      <c r="L90" s="54"/>
      <c r="M90" s="107"/>
      <c r="N90" s="54"/>
      <c r="O90" s="54"/>
      <c r="P90" s="54"/>
    </row>
    <row r="91" spans="1:17" x14ac:dyDescent="0.2">
      <c r="A91" s="55"/>
      <c r="B91" s="54"/>
      <c r="C91" s="107"/>
      <c r="D91" s="54"/>
      <c r="E91" s="107"/>
      <c r="F91" s="54"/>
      <c r="G91" s="107"/>
      <c r="H91" s="54"/>
      <c r="I91" s="107"/>
      <c r="J91" s="54"/>
      <c r="K91" s="107"/>
      <c r="L91" s="54"/>
      <c r="M91" s="107"/>
      <c r="N91" s="54"/>
      <c r="O91" s="54"/>
      <c r="P91" s="54"/>
      <c r="Q91" s="57"/>
    </row>
    <row r="92" spans="1:17" x14ac:dyDescent="0.2">
      <c r="B92" s="25"/>
      <c r="C92" s="984"/>
      <c r="D92" s="25"/>
      <c r="E92" s="984"/>
      <c r="F92" s="58"/>
      <c r="G92" s="984"/>
      <c r="H92" s="58"/>
      <c r="I92" s="985"/>
      <c r="K92" s="985"/>
      <c r="M92" s="985"/>
    </row>
    <row r="93" spans="1:17" s="60" customFormat="1" x14ac:dyDescent="0.2">
      <c r="A93" s="25"/>
      <c r="B93" s="25"/>
      <c r="C93" s="984"/>
      <c r="D93" s="25"/>
      <c r="E93" s="984"/>
      <c r="F93" s="58"/>
      <c r="G93" s="984"/>
      <c r="H93" s="58"/>
      <c r="I93" s="985"/>
      <c r="K93" s="985"/>
      <c r="M93" s="985"/>
      <c r="O93" s="59"/>
      <c r="Q93" s="29"/>
    </row>
    <row r="94" spans="1:17" s="60" customFormat="1" x14ac:dyDescent="0.2">
      <c r="A94" s="25"/>
      <c r="B94" s="25"/>
      <c r="C94" s="984"/>
      <c r="D94" s="25"/>
      <c r="E94" s="984"/>
      <c r="F94" s="58"/>
      <c r="G94" s="984"/>
      <c r="H94" s="58"/>
      <c r="I94" s="985"/>
      <c r="K94" s="985"/>
      <c r="M94" s="985"/>
      <c r="O94" s="59"/>
      <c r="Q94" s="29"/>
    </row>
    <row r="95" spans="1:17" s="60" customFormat="1" x14ac:dyDescent="0.2">
      <c r="A95" s="25"/>
      <c r="B95" s="25"/>
      <c r="C95" s="984"/>
      <c r="D95" s="25"/>
      <c r="E95" s="984"/>
      <c r="F95" s="58"/>
      <c r="G95" s="984"/>
      <c r="H95" s="58"/>
      <c r="I95" s="985"/>
      <c r="K95" s="985"/>
      <c r="M95" s="985"/>
      <c r="O95" s="59"/>
      <c r="Q95" s="29"/>
    </row>
    <row r="96" spans="1:17" s="60" customFormat="1" x14ac:dyDescent="0.2">
      <c r="A96" s="25"/>
      <c r="B96" s="25"/>
      <c r="C96" s="984"/>
      <c r="D96" s="25"/>
      <c r="E96" s="984"/>
      <c r="F96" s="58"/>
      <c r="G96" s="984"/>
      <c r="H96" s="58"/>
      <c r="I96" s="985"/>
      <c r="K96" s="985"/>
      <c r="M96" s="985"/>
      <c r="O96" s="59"/>
      <c r="Q96" s="29"/>
    </row>
    <row r="97" spans="1:17" s="60" customFormat="1" x14ac:dyDescent="0.2">
      <c r="A97" s="25"/>
      <c r="B97" s="25"/>
      <c r="C97" s="984"/>
      <c r="D97" s="25"/>
      <c r="E97" s="984"/>
      <c r="F97" s="58"/>
      <c r="G97" s="984"/>
      <c r="H97" s="58"/>
      <c r="I97" s="985"/>
      <c r="K97" s="985"/>
      <c r="M97" s="985"/>
      <c r="O97" s="59"/>
      <c r="Q97" s="29"/>
    </row>
    <row r="98" spans="1:17" s="60" customFormat="1" x14ac:dyDescent="0.2">
      <c r="A98" s="25"/>
      <c r="B98" s="25"/>
      <c r="C98" s="984"/>
      <c r="D98" s="25"/>
      <c r="E98" s="984"/>
      <c r="F98" s="58"/>
      <c r="G98" s="984"/>
      <c r="H98" s="58"/>
      <c r="I98" s="985"/>
      <c r="K98" s="985"/>
      <c r="M98" s="985"/>
      <c r="O98" s="59"/>
      <c r="Q98" s="29"/>
    </row>
    <row r="99" spans="1:17" s="60" customFormat="1" x14ac:dyDescent="0.2">
      <c r="A99" s="25"/>
      <c r="B99" s="25"/>
      <c r="C99" s="984"/>
      <c r="D99" s="25"/>
      <c r="E99" s="984"/>
      <c r="F99" s="58"/>
      <c r="G99" s="984"/>
      <c r="H99" s="58"/>
      <c r="I99" s="985"/>
      <c r="K99" s="985"/>
      <c r="M99" s="985"/>
      <c r="O99" s="59"/>
      <c r="Q99" s="29"/>
    </row>
    <row r="100" spans="1:17" s="60" customFormat="1" x14ac:dyDescent="0.2">
      <c r="A100" s="25"/>
      <c r="B100" s="25"/>
      <c r="C100" s="984"/>
      <c r="D100" s="25"/>
      <c r="E100" s="984"/>
      <c r="F100" s="58"/>
      <c r="G100" s="984"/>
      <c r="H100" s="58"/>
      <c r="I100" s="985"/>
      <c r="K100" s="985"/>
      <c r="M100" s="985"/>
      <c r="O100" s="59"/>
      <c r="Q100" s="29"/>
    </row>
    <row r="101" spans="1:17" s="60" customFormat="1" x14ac:dyDescent="0.2">
      <c r="A101" s="25"/>
      <c r="B101" s="25"/>
      <c r="C101" s="984"/>
      <c r="D101" s="25"/>
      <c r="E101" s="984"/>
      <c r="F101" s="58"/>
      <c r="G101" s="984"/>
      <c r="H101" s="58"/>
      <c r="I101" s="985"/>
      <c r="K101" s="985"/>
      <c r="M101" s="985"/>
      <c r="O101" s="59"/>
      <c r="Q101" s="29"/>
    </row>
    <row r="102" spans="1:17" s="60" customFormat="1" x14ac:dyDescent="0.2">
      <c r="A102" s="25"/>
      <c r="B102" s="25"/>
      <c r="C102" s="984"/>
      <c r="D102" s="25"/>
      <c r="E102" s="984"/>
      <c r="F102" s="58"/>
      <c r="G102" s="984"/>
      <c r="H102" s="58"/>
      <c r="I102" s="985"/>
      <c r="K102" s="985"/>
      <c r="M102" s="985"/>
      <c r="O102" s="59"/>
      <c r="Q102" s="29"/>
    </row>
    <row r="103" spans="1:17" s="60" customFormat="1" x14ac:dyDescent="0.2">
      <c r="A103" s="25"/>
      <c r="B103" s="25"/>
      <c r="C103" s="984"/>
      <c r="D103" s="25"/>
      <c r="E103" s="984"/>
      <c r="F103" s="58"/>
      <c r="G103" s="984"/>
      <c r="H103" s="58"/>
      <c r="I103" s="985"/>
      <c r="K103" s="985"/>
      <c r="M103" s="985"/>
      <c r="O103" s="59"/>
      <c r="Q103" s="29"/>
    </row>
    <row r="104" spans="1:17" s="60" customFormat="1" x14ac:dyDescent="0.2">
      <c r="A104" s="25"/>
      <c r="B104" s="25"/>
      <c r="C104" s="984"/>
      <c r="D104" s="25"/>
      <c r="E104" s="984"/>
      <c r="F104" s="58"/>
      <c r="G104" s="984"/>
      <c r="H104" s="58"/>
      <c r="I104" s="985"/>
      <c r="K104" s="985"/>
      <c r="M104" s="985"/>
      <c r="O104" s="59"/>
      <c r="Q104" s="29"/>
    </row>
    <row r="105" spans="1:17" s="60" customFormat="1" x14ac:dyDescent="0.2">
      <c r="A105" s="25"/>
      <c r="B105" s="25"/>
      <c r="C105" s="984"/>
      <c r="D105" s="25"/>
      <c r="E105" s="984"/>
      <c r="F105" s="58"/>
      <c r="G105" s="984"/>
      <c r="H105" s="58"/>
      <c r="I105" s="985"/>
      <c r="K105" s="985"/>
      <c r="M105" s="985"/>
      <c r="O105" s="59"/>
      <c r="Q105" s="29"/>
    </row>
    <row r="106" spans="1:17" s="60" customFormat="1" x14ac:dyDescent="0.2">
      <c r="A106" s="25"/>
      <c r="B106" s="25"/>
      <c r="C106" s="984"/>
      <c r="D106" s="25"/>
      <c r="E106" s="984"/>
      <c r="F106" s="58"/>
      <c r="G106" s="984"/>
      <c r="H106" s="58"/>
      <c r="I106" s="985"/>
      <c r="K106" s="985"/>
      <c r="M106" s="985"/>
      <c r="O106" s="59"/>
      <c r="Q106" s="29"/>
    </row>
    <row r="107" spans="1:17" s="60" customFormat="1" x14ac:dyDescent="0.2">
      <c r="A107" s="25"/>
      <c r="B107" s="25"/>
      <c r="C107" s="984"/>
      <c r="D107" s="25"/>
      <c r="E107" s="984"/>
      <c r="F107" s="58"/>
      <c r="G107" s="984"/>
      <c r="H107" s="58"/>
      <c r="I107" s="985"/>
      <c r="K107" s="985"/>
      <c r="M107" s="985"/>
      <c r="O107" s="59"/>
      <c r="Q107" s="29"/>
    </row>
    <row r="108" spans="1:17" s="60" customFormat="1" x14ac:dyDescent="0.2">
      <c r="A108" s="25"/>
      <c r="B108" s="25"/>
      <c r="C108" s="984"/>
      <c r="D108" s="25"/>
      <c r="E108" s="984"/>
      <c r="F108" s="58"/>
      <c r="G108" s="984"/>
      <c r="H108" s="58"/>
      <c r="I108" s="985"/>
      <c r="K108" s="985"/>
      <c r="M108" s="985"/>
      <c r="O108" s="59"/>
      <c r="Q108" s="29"/>
    </row>
    <row r="109" spans="1:17" s="60" customFormat="1" x14ac:dyDescent="0.2">
      <c r="A109" s="25"/>
      <c r="B109" s="25"/>
      <c r="C109" s="984"/>
      <c r="D109" s="25"/>
      <c r="E109" s="984"/>
      <c r="F109" s="58"/>
      <c r="G109" s="984"/>
      <c r="H109" s="58"/>
      <c r="I109" s="985"/>
      <c r="K109" s="985"/>
      <c r="M109" s="985"/>
      <c r="O109" s="59"/>
      <c r="Q109" s="29"/>
    </row>
    <row r="110" spans="1:17" s="60" customFormat="1" x14ac:dyDescent="0.2">
      <c r="A110" s="25"/>
      <c r="B110" s="25"/>
      <c r="C110" s="984"/>
      <c r="D110" s="25"/>
      <c r="E110" s="984"/>
      <c r="F110" s="58"/>
      <c r="G110" s="984"/>
      <c r="H110" s="58"/>
      <c r="I110" s="985"/>
      <c r="K110" s="985"/>
      <c r="M110" s="985"/>
      <c r="O110" s="59"/>
      <c r="Q110" s="29"/>
    </row>
    <row r="111" spans="1:17" s="60" customFormat="1" x14ac:dyDescent="0.2">
      <c r="A111" s="25"/>
      <c r="B111" s="25"/>
      <c r="C111" s="984"/>
      <c r="D111" s="25"/>
      <c r="E111" s="984"/>
      <c r="F111" s="58"/>
      <c r="G111" s="984"/>
      <c r="H111" s="58"/>
      <c r="I111" s="985"/>
      <c r="K111" s="985"/>
      <c r="M111" s="985"/>
      <c r="O111" s="59"/>
      <c r="Q111" s="29"/>
    </row>
    <row r="112" spans="1:17" s="60" customFormat="1" x14ac:dyDescent="0.2">
      <c r="A112" s="25"/>
      <c r="B112" s="25"/>
      <c r="C112" s="984"/>
      <c r="D112" s="25"/>
      <c r="E112" s="984"/>
      <c r="F112" s="58"/>
      <c r="G112" s="984"/>
      <c r="H112" s="58"/>
      <c r="I112" s="985"/>
      <c r="K112" s="985"/>
      <c r="M112" s="985"/>
      <c r="O112" s="59"/>
      <c r="Q112" s="29"/>
    </row>
    <row r="113" spans="1:17" s="60" customFormat="1" x14ac:dyDescent="0.2">
      <c r="A113" s="25"/>
      <c r="B113" s="25"/>
      <c r="C113" s="984"/>
      <c r="D113" s="25"/>
      <c r="E113" s="984"/>
      <c r="F113" s="58"/>
      <c r="G113" s="984"/>
      <c r="H113" s="58"/>
      <c r="I113" s="985"/>
      <c r="K113" s="985"/>
      <c r="M113" s="985"/>
      <c r="O113" s="59"/>
      <c r="Q113" s="29"/>
    </row>
    <row r="114" spans="1:17" s="60" customFormat="1" x14ac:dyDescent="0.2">
      <c r="A114" s="25"/>
      <c r="B114" s="25"/>
      <c r="C114" s="984"/>
      <c r="D114" s="25"/>
      <c r="E114" s="984"/>
      <c r="F114" s="58"/>
      <c r="G114" s="984"/>
      <c r="H114" s="58"/>
      <c r="I114" s="985"/>
      <c r="K114" s="985"/>
      <c r="M114" s="985"/>
      <c r="O114" s="59"/>
      <c r="Q114" s="29"/>
    </row>
    <row r="115" spans="1:17" s="60" customFormat="1" x14ac:dyDescent="0.2">
      <c r="A115" s="25"/>
      <c r="B115" s="25"/>
      <c r="C115" s="984"/>
      <c r="D115" s="25"/>
      <c r="E115" s="984"/>
      <c r="F115" s="58"/>
      <c r="G115" s="984"/>
      <c r="H115" s="58"/>
      <c r="I115" s="985"/>
      <c r="K115" s="985"/>
      <c r="M115" s="985"/>
      <c r="O115" s="59"/>
      <c r="Q115" s="29"/>
    </row>
    <row r="116" spans="1:17" s="60" customFormat="1" x14ac:dyDescent="0.2">
      <c r="A116" s="25"/>
      <c r="B116" s="25"/>
      <c r="C116" s="984"/>
      <c r="D116" s="25"/>
      <c r="E116" s="984"/>
      <c r="F116" s="58"/>
      <c r="G116" s="984"/>
      <c r="H116" s="58"/>
      <c r="I116" s="985"/>
      <c r="K116" s="985"/>
      <c r="M116" s="985"/>
      <c r="O116" s="59"/>
      <c r="Q116" s="29"/>
    </row>
    <row r="117" spans="1:17" s="60" customFormat="1" x14ac:dyDescent="0.2">
      <c r="A117" s="25"/>
      <c r="B117" s="25"/>
      <c r="C117" s="984"/>
      <c r="D117" s="25"/>
      <c r="E117" s="984"/>
      <c r="F117" s="58"/>
      <c r="G117" s="984"/>
      <c r="H117" s="58"/>
      <c r="I117" s="985"/>
      <c r="K117" s="985"/>
      <c r="M117" s="985"/>
      <c r="O117" s="59"/>
      <c r="Q117" s="29"/>
    </row>
    <row r="118" spans="1:17" s="60" customFormat="1" x14ac:dyDescent="0.2">
      <c r="A118" s="25"/>
      <c r="B118" s="25"/>
      <c r="C118" s="984"/>
      <c r="D118" s="25"/>
      <c r="E118" s="984"/>
      <c r="F118" s="58"/>
      <c r="G118" s="984"/>
      <c r="H118" s="58"/>
      <c r="I118" s="985"/>
      <c r="K118" s="985"/>
      <c r="M118" s="985"/>
      <c r="O118" s="59"/>
      <c r="Q118" s="29"/>
    </row>
    <row r="119" spans="1:17" s="60" customFormat="1" x14ac:dyDescent="0.2">
      <c r="A119" s="25"/>
      <c r="B119" s="25"/>
      <c r="C119" s="984"/>
      <c r="D119" s="25"/>
      <c r="E119" s="984"/>
      <c r="F119" s="58"/>
      <c r="G119" s="984"/>
      <c r="H119" s="58"/>
      <c r="I119" s="985"/>
      <c r="K119" s="985"/>
      <c r="M119" s="985"/>
      <c r="O119" s="59"/>
      <c r="Q119" s="29"/>
    </row>
    <row r="120" spans="1:17" s="60" customFormat="1" x14ac:dyDescent="0.2">
      <c r="A120" s="25"/>
      <c r="B120" s="25"/>
      <c r="C120" s="984"/>
      <c r="D120" s="25"/>
      <c r="E120" s="984"/>
      <c r="F120" s="58"/>
      <c r="G120" s="984"/>
      <c r="H120" s="58"/>
      <c r="I120" s="985"/>
      <c r="K120" s="985"/>
      <c r="M120" s="985"/>
      <c r="O120" s="59"/>
      <c r="Q120" s="29"/>
    </row>
    <row r="121" spans="1:17" s="60" customFormat="1" x14ac:dyDescent="0.2">
      <c r="A121" s="25"/>
      <c r="B121" s="25"/>
      <c r="C121" s="985"/>
      <c r="D121" s="61"/>
      <c r="E121" s="985"/>
      <c r="G121" s="985"/>
      <c r="I121" s="985"/>
      <c r="K121" s="985"/>
      <c r="M121" s="985"/>
      <c r="O121" s="59"/>
      <c r="Q121" s="29"/>
    </row>
    <row r="122" spans="1:17" s="60" customFormat="1" x14ac:dyDescent="0.2">
      <c r="A122" s="25"/>
      <c r="B122" s="25"/>
      <c r="C122" s="985"/>
      <c r="D122" s="61"/>
      <c r="E122" s="985"/>
      <c r="G122" s="985"/>
      <c r="I122" s="985"/>
      <c r="K122" s="985"/>
      <c r="M122" s="985"/>
      <c r="O122" s="59"/>
      <c r="Q122" s="29"/>
    </row>
    <row r="123" spans="1:17" s="60" customFormat="1" x14ac:dyDescent="0.2">
      <c r="A123" s="25"/>
      <c r="B123" s="25"/>
      <c r="C123" s="985"/>
      <c r="D123" s="61"/>
      <c r="E123" s="985"/>
      <c r="G123" s="985"/>
      <c r="I123" s="985"/>
      <c r="K123" s="985"/>
      <c r="M123" s="985"/>
      <c r="O123" s="59"/>
      <c r="Q123" s="29"/>
    </row>
    <row r="124" spans="1:17" s="60" customFormat="1" x14ac:dyDescent="0.2">
      <c r="A124" s="25"/>
      <c r="B124" s="25"/>
      <c r="C124" s="985"/>
      <c r="D124" s="61"/>
      <c r="E124" s="985"/>
      <c r="G124" s="985"/>
      <c r="I124" s="985"/>
      <c r="K124" s="985"/>
      <c r="M124" s="985"/>
      <c r="O124" s="59"/>
      <c r="Q124" s="29"/>
    </row>
    <row r="125" spans="1:17" s="60" customFormat="1" x14ac:dyDescent="0.2">
      <c r="A125" s="25"/>
      <c r="B125" s="25"/>
      <c r="C125" s="985"/>
      <c r="D125" s="61"/>
      <c r="E125" s="985"/>
      <c r="G125" s="985"/>
      <c r="I125" s="985"/>
      <c r="K125" s="985"/>
      <c r="M125" s="985"/>
      <c r="O125" s="59"/>
      <c r="Q125" s="29"/>
    </row>
    <row r="126" spans="1:17" s="60" customFormat="1" x14ac:dyDescent="0.2">
      <c r="A126" s="25"/>
      <c r="B126" s="25"/>
      <c r="C126" s="985"/>
      <c r="D126" s="61"/>
      <c r="E126" s="985"/>
      <c r="G126" s="985"/>
      <c r="I126" s="985"/>
      <c r="K126" s="985"/>
      <c r="M126" s="985"/>
      <c r="O126" s="59"/>
      <c r="Q126" s="29"/>
    </row>
    <row r="127" spans="1:17" s="60" customFormat="1" x14ac:dyDescent="0.2">
      <c r="A127" s="25"/>
      <c r="B127" s="25"/>
      <c r="C127" s="985"/>
      <c r="D127" s="61"/>
      <c r="E127" s="985"/>
      <c r="G127" s="985"/>
      <c r="I127" s="985"/>
      <c r="K127" s="985"/>
      <c r="M127" s="985"/>
      <c r="O127" s="59"/>
      <c r="Q127" s="29"/>
    </row>
    <row r="128" spans="1:17" s="60" customFormat="1" x14ac:dyDescent="0.2">
      <c r="A128" s="25"/>
      <c r="B128" s="25"/>
      <c r="C128" s="985"/>
      <c r="D128" s="61"/>
      <c r="E128" s="985"/>
      <c r="G128" s="985"/>
      <c r="I128" s="985"/>
      <c r="K128" s="985"/>
      <c r="M128" s="985"/>
      <c r="O128" s="59"/>
      <c r="Q128" s="29"/>
    </row>
    <row r="129" spans="1:17" s="60" customFormat="1" x14ac:dyDescent="0.2">
      <c r="A129" s="25"/>
      <c r="B129" s="25"/>
      <c r="C129" s="985"/>
      <c r="D129" s="61"/>
      <c r="E129" s="985"/>
      <c r="G129" s="985"/>
      <c r="I129" s="985"/>
      <c r="K129" s="985"/>
      <c r="M129" s="985"/>
      <c r="O129" s="59"/>
      <c r="Q129" s="29"/>
    </row>
    <row r="130" spans="1:17" s="60" customFormat="1" x14ac:dyDescent="0.2">
      <c r="A130" s="25"/>
      <c r="B130" s="25"/>
      <c r="C130" s="985"/>
      <c r="D130" s="61"/>
      <c r="E130" s="985"/>
      <c r="G130" s="985"/>
      <c r="I130" s="985"/>
      <c r="K130" s="985"/>
      <c r="M130" s="985"/>
      <c r="O130" s="59"/>
      <c r="Q130" s="29"/>
    </row>
    <row r="131" spans="1:17" s="60" customFormat="1" x14ac:dyDescent="0.2">
      <c r="A131" s="25"/>
      <c r="B131" s="25"/>
      <c r="C131" s="985"/>
      <c r="D131" s="61"/>
      <c r="E131" s="985"/>
      <c r="G131" s="985"/>
      <c r="I131" s="985"/>
      <c r="K131" s="985"/>
      <c r="M131" s="985"/>
      <c r="O131" s="59"/>
      <c r="Q131" s="29"/>
    </row>
    <row r="132" spans="1:17" s="60" customFormat="1" x14ac:dyDescent="0.2">
      <c r="A132" s="25"/>
      <c r="B132" s="25"/>
      <c r="C132" s="985"/>
      <c r="D132" s="61"/>
      <c r="E132" s="985"/>
      <c r="G132" s="985"/>
      <c r="I132" s="985"/>
      <c r="K132" s="985"/>
      <c r="M132" s="985"/>
      <c r="O132" s="59"/>
      <c r="Q132" s="29"/>
    </row>
    <row r="133" spans="1:17" s="60" customFormat="1" x14ac:dyDescent="0.2">
      <c r="A133" s="25"/>
      <c r="B133" s="25"/>
      <c r="C133" s="985"/>
      <c r="D133" s="61"/>
      <c r="E133" s="985"/>
      <c r="G133" s="985"/>
      <c r="I133" s="985"/>
      <c r="K133" s="985"/>
      <c r="M133" s="985"/>
      <c r="O133" s="59"/>
      <c r="Q133" s="29"/>
    </row>
    <row r="134" spans="1:17" s="60" customFormat="1" x14ac:dyDescent="0.2">
      <c r="A134" s="25"/>
      <c r="B134" s="25"/>
      <c r="C134" s="985"/>
      <c r="D134" s="61"/>
      <c r="E134" s="985"/>
      <c r="G134" s="985"/>
      <c r="I134" s="985"/>
      <c r="K134" s="985"/>
      <c r="M134" s="985"/>
      <c r="O134" s="59"/>
      <c r="Q134" s="29"/>
    </row>
    <row r="135" spans="1:17" s="60" customFormat="1" x14ac:dyDescent="0.2">
      <c r="A135" s="25"/>
      <c r="B135" s="25"/>
      <c r="C135" s="985"/>
      <c r="D135" s="61"/>
      <c r="E135" s="985"/>
      <c r="G135" s="985"/>
      <c r="I135" s="985"/>
      <c r="K135" s="985"/>
      <c r="M135" s="985"/>
      <c r="O135" s="59"/>
      <c r="Q135" s="29"/>
    </row>
    <row r="136" spans="1:17" s="60" customFormat="1" x14ac:dyDescent="0.2">
      <c r="A136" s="25"/>
      <c r="B136" s="25"/>
      <c r="C136" s="985"/>
      <c r="D136" s="61"/>
      <c r="E136" s="985"/>
      <c r="G136" s="985"/>
      <c r="I136" s="985"/>
      <c r="K136" s="985"/>
      <c r="M136" s="985"/>
      <c r="O136" s="59"/>
      <c r="Q136" s="29"/>
    </row>
    <row r="137" spans="1:17" s="60" customFormat="1" x14ac:dyDescent="0.2">
      <c r="A137" s="25"/>
      <c r="B137" s="25"/>
      <c r="C137" s="985"/>
      <c r="D137" s="61"/>
      <c r="E137" s="985"/>
      <c r="G137" s="985"/>
      <c r="I137" s="985"/>
      <c r="K137" s="985"/>
      <c r="M137" s="985"/>
      <c r="O137" s="59"/>
      <c r="Q137" s="29"/>
    </row>
    <row r="138" spans="1:17" s="60" customFormat="1" x14ac:dyDescent="0.2">
      <c r="A138" s="25"/>
      <c r="B138" s="26"/>
      <c r="C138" s="985"/>
      <c r="D138" s="61"/>
      <c r="E138" s="985"/>
      <c r="G138" s="985"/>
      <c r="I138" s="985"/>
      <c r="K138" s="985"/>
      <c r="M138" s="985"/>
      <c r="O138" s="59"/>
      <c r="Q138" s="29"/>
    </row>
    <row r="139" spans="1:17" s="60" customFormat="1" x14ac:dyDescent="0.2">
      <c r="A139" s="25"/>
      <c r="B139" s="26"/>
      <c r="C139" s="985"/>
      <c r="D139" s="61"/>
      <c r="E139" s="985"/>
      <c r="G139" s="985"/>
      <c r="I139" s="985"/>
      <c r="K139" s="985"/>
      <c r="M139" s="985"/>
      <c r="O139" s="59"/>
      <c r="Q139" s="29"/>
    </row>
    <row r="140" spans="1:17" s="60" customFormat="1" x14ac:dyDescent="0.2">
      <c r="A140" s="25"/>
      <c r="B140" s="26"/>
      <c r="C140" s="985"/>
      <c r="D140" s="61"/>
      <c r="E140" s="985"/>
      <c r="G140" s="985"/>
      <c r="I140" s="985"/>
      <c r="K140" s="985"/>
      <c r="M140" s="985"/>
      <c r="O140" s="59"/>
      <c r="Q140" s="29"/>
    </row>
    <row r="141" spans="1:17" s="60" customFormat="1" x14ac:dyDescent="0.2">
      <c r="A141" s="25"/>
      <c r="B141" s="26"/>
      <c r="C141" s="985"/>
      <c r="D141" s="61"/>
      <c r="E141" s="985"/>
      <c r="G141" s="985"/>
      <c r="I141" s="985"/>
      <c r="K141" s="985"/>
      <c r="M141" s="985"/>
      <c r="O141" s="59"/>
      <c r="Q141" s="29"/>
    </row>
    <row r="142" spans="1:17" s="60" customFormat="1" x14ac:dyDescent="0.2">
      <c r="A142" s="25"/>
      <c r="B142" s="26"/>
      <c r="C142" s="985"/>
      <c r="D142" s="61"/>
      <c r="E142" s="985"/>
      <c r="G142" s="985"/>
      <c r="I142" s="985"/>
      <c r="K142" s="985"/>
      <c r="M142" s="985"/>
      <c r="O142" s="59"/>
      <c r="Q142" s="29"/>
    </row>
  </sheetData>
  <mergeCells count="8">
    <mergeCell ref="A83:N83"/>
    <mergeCell ref="K2:K3"/>
    <mergeCell ref="A75:N75"/>
    <mergeCell ref="A76:N76"/>
    <mergeCell ref="A79:N79"/>
    <mergeCell ref="A80:N80"/>
    <mergeCell ref="A81:N81"/>
    <mergeCell ref="A82:N82"/>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rintOptions horizontalCentered="1"/>
  <pageMargins left="0" right="0" top="0.5" bottom="0.25" header="0.5" footer="0.5"/>
  <pageSetup scale="67" pageOrder="overThenDown" orientation="portrait" blackAndWhite="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8">
    <pageSetUpPr fitToPage="1"/>
  </sheetPr>
  <dimension ref="A1:Q169"/>
  <sheetViews>
    <sheetView showGridLines="0" zoomScaleNormal="5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4.140625" style="60" customWidth="1"/>
    <col min="11" max="11" width="13.7109375" style="59" customWidth="1"/>
    <col min="12" max="12" width="5.28515625" style="60" customWidth="1"/>
    <col min="13" max="13" width="13.7109375" style="59" hidden="1" customWidth="1"/>
    <col min="14" max="14" width="5.140625" style="60" hidden="1" customWidth="1"/>
    <col min="15" max="15" width="13.7109375" style="59" customWidth="1"/>
    <col min="16" max="16" width="2.85546875" style="60" customWidth="1"/>
    <col min="17" max="17" width="12.7109375" style="29" bestFit="1"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1369</v>
      </c>
      <c r="C3" s="10" t="s">
        <v>1370</v>
      </c>
      <c r="D3" s="6"/>
      <c r="E3" s="11"/>
      <c r="F3" s="9"/>
      <c r="G3" s="11"/>
      <c r="H3" s="6"/>
      <c r="I3" s="11"/>
      <c r="J3" s="6"/>
      <c r="K3" s="1734"/>
      <c r="L3" s="6"/>
      <c r="M3" s="11"/>
      <c r="N3" s="6"/>
    </row>
    <row r="4" spans="1:16" s="4" customFormat="1" ht="15.75" x14ac:dyDescent="0.25">
      <c r="A4" s="1" t="s">
        <v>180</v>
      </c>
      <c r="B4" s="10" t="s">
        <v>1060</v>
      </c>
      <c r="C4" s="10" t="s">
        <v>35</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E10" s="87"/>
      <c r="G10" s="87"/>
      <c r="I10" s="87"/>
    </row>
    <row r="11" spans="1:16" s="37" customFormat="1" x14ac:dyDescent="0.2">
      <c r="A11" s="549" t="s">
        <v>1412</v>
      </c>
      <c r="B11" s="36"/>
      <c r="C11" s="87"/>
      <c r="E11" s="87"/>
      <c r="G11" s="87"/>
      <c r="I11" s="87"/>
    </row>
    <row r="12" spans="1:16" s="40" customFormat="1" x14ac:dyDescent="0.2">
      <c r="A12" s="578" t="s">
        <v>1413</v>
      </c>
      <c r="B12" s="39"/>
      <c r="C12" s="557">
        <v>31063</v>
      </c>
      <c r="E12" s="153">
        <v>30622</v>
      </c>
      <c r="F12" s="118"/>
      <c r="G12" s="153">
        <v>31063</v>
      </c>
      <c r="H12" s="118"/>
      <c r="I12" s="153">
        <v>30622</v>
      </c>
      <c r="J12" s="118"/>
      <c r="K12" s="153">
        <v>30622</v>
      </c>
      <c r="M12" s="76"/>
    </row>
    <row r="13" spans="1:16" s="40" customFormat="1" x14ac:dyDescent="0.2">
      <c r="A13" s="578" t="s">
        <v>1414</v>
      </c>
      <c r="B13" s="39"/>
      <c r="C13" s="557">
        <v>18872</v>
      </c>
      <c r="E13" s="153">
        <v>18435</v>
      </c>
      <c r="F13" s="118"/>
      <c r="G13" s="153">
        <v>18872</v>
      </c>
      <c r="H13" s="118"/>
      <c r="I13" s="153">
        <v>18435</v>
      </c>
      <c r="J13" s="118"/>
      <c r="K13" s="153">
        <v>18435</v>
      </c>
      <c r="M13" s="76"/>
    </row>
    <row r="14" spans="1:16" s="40" customFormat="1" x14ac:dyDescent="0.2">
      <c r="A14" s="578" t="s">
        <v>1415</v>
      </c>
      <c r="B14" s="39"/>
      <c r="C14" s="557">
        <v>3808</v>
      </c>
      <c r="E14" s="153">
        <v>3552</v>
      </c>
      <c r="F14" s="118"/>
      <c r="G14" s="153">
        <v>3808</v>
      </c>
      <c r="H14" s="118"/>
      <c r="I14" s="153">
        <v>3552</v>
      </c>
      <c r="J14" s="118"/>
      <c r="K14" s="153">
        <v>3552</v>
      </c>
      <c r="M14" s="76"/>
    </row>
    <row r="15" spans="1:16" s="40" customFormat="1" x14ac:dyDescent="0.2">
      <c r="A15" s="578" t="s">
        <v>1416</v>
      </c>
      <c r="B15" s="39"/>
      <c r="C15" s="1022">
        <v>3641</v>
      </c>
      <c r="E15" s="151">
        <v>5259</v>
      </c>
      <c r="F15" s="118"/>
      <c r="G15" s="151">
        <v>3641</v>
      </c>
      <c r="H15" s="118"/>
      <c r="I15" s="151">
        <v>5259</v>
      </c>
      <c r="J15" s="118"/>
      <c r="K15" s="151">
        <v>5259</v>
      </c>
      <c r="M15" s="687"/>
    </row>
    <row r="16" spans="1:16" s="40" customFormat="1" x14ac:dyDescent="0.2">
      <c r="A16" s="585" t="s">
        <v>1417</v>
      </c>
      <c r="B16" s="39"/>
      <c r="C16" s="588"/>
      <c r="E16" s="1023"/>
      <c r="F16" s="118"/>
      <c r="G16" s="111"/>
      <c r="H16" s="118"/>
      <c r="I16" s="111"/>
      <c r="J16" s="118"/>
      <c r="K16" s="111"/>
      <c r="M16" s="65"/>
    </row>
    <row r="17" spans="1:13" s="40" customFormat="1" x14ac:dyDescent="0.2">
      <c r="A17" s="640" t="s">
        <v>1418</v>
      </c>
      <c r="B17" s="39"/>
      <c r="C17" s="1022">
        <v>64</v>
      </c>
      <c r="E17" s="151">
        <v>64</v>
      </c>
      <c r="F17" s="118"/>
      <c r="G17" s="151">
        <v>64</v>
      </c>
      <c r="H17" s="118"/>
      <c r="I17" s="151">
        <v>64</v>
      </c>
      <c r="J17" s="118"/>
      <c r="K17" s="151">
        <v>64</v>
      </c>
      <c r="M17" s="97"/>
    </row>
    <row r="18" spans="1:13" s="40" customFormat="1" x14ac:dyDescent="0.2">
      <c r="A18" s="640" t="s">
        <v>1419</v>
      </c>
      <c r="B18" s="39"/>
      <c r="C18" s="1022">
        <v>326</v>
      </c>
      <c r="E18" s="151">
        <v>326</v>
      </c>
      <c r="F18" s="118"/>
      <c r="G18" s="151">
        <v>336</v>
      </c>
      <c r="H18" s="118"/>
      <c r="I18" s="151">
        <v>326</v>
      </c>
      <c r="J18" s="118"/>
      <c r="K18" s="151">
        <v>326</v>
      </c>
      <c r="M18" s="97"/>
    </row>
    <row r="19" spans="1:13" s="40" customFormat="1" x14ac:dyDescent="0.2">
      <c r="A19" s="585" t="s">
        <v>1420</v>
      </c>
      <c r="B19" s="39"/>
      <c r="C19" s="588"/>
      <c r="E19" s="1023"/>
      <c r="F19" s="118"/>
      <c r="G19" s="111"/>
      <c r="H19" s="118"/>
      <c r="I19" s="111"/>
      <c r="J19" s="118"/>
      <c r="K19" s="111"/>
      <c r="M19" s="76"/>
    </row>
    <row r="20" spans="1:13" s="40" customFormat="1" x14ac:dyDescent="0.2">
      <c r="A20" s="640" t="s">
        <v>1421</v>
      </c>
      <c r="B20" s="39"/>
      <c r="C20" s="557">
        <v>3323</v>
      </c>
      <c r="D20" s="146"/>
      <c r="E20" s="153">
        <v>3176</v>
      </c>
      <c r="F20" s="118"/>
      <c r="G20" s="112">
        <v>3176</v>
      </c>
      <c r="H20" s="118"/>
      <c r="I20" s="112">
        <v>3037</v>
      </c>
      <c r="J20" s="118"/>
      <c r="K20" s="112">
        <v>3037</v>
      </c>
      <c r="M20" s="76"/>
    </row>
    <row r="21" spans="1:13" s="40" customFormat="1" x14ac:dyDescent="0.2">
      <c r="A21" s="640" t="s">
        <v>1422</v>
      </c>
      <c r="B21" s="39"/>
      <c r="C21" s="1022">
        <v>9082</v>
      </c>
      <c r="D21" s="146"/>
      <c r="E21" s="151">
        <v>10636</v>
      </c>
      <c r="F21" s="118"/>
      <c r="G21" s="126">
        <v>9502</v>
      </c>
      <c r="H21" s="118"/>
      <c r="I21" s="126">
        <v>11123</v>
      </c>
      <c r="J21" s="118"/>
      <c r="K21" s="126">
        <v>11123</v>
      </c>
      <c r="M21" s="97"/>
    </row>
    <row r="22" spans="1:13" s="40" customFormat="1" x14ac:dyDescent="0.2">
      <c r="A22" s="585" t="s">
        <v>1423</v>
      </c>
      <c r="B22" s="39"/>
      <c r="C22" s="588"/>
      <c r="E22" s="1023"/>
      <c r="F22" s="118"/>
      <c r="G22" s="111"/>
      <c r="H22" s="118"/>
      <c r="I22" s="111"/>
      <c r="J22" s="118"/>
      <c r="K22" s="111"/>
      <c r="M22" s="76"/>
    </row>
    <row r="23" spans="1:13" s="40" customFormat="1" x14ac:dyDescent="0.2">
      <c r="A23" s="640" t="s">
        <v>1177</v>
      </c>
      <c r="B23" s="39"/>
      <c r="C23" s="557">
        <v>17112</v>
      </c>
      <c r="E23" s="153">
        <v>17112</v>
      </c>
      <c r="F23" s="118"/>
      <c r="G23" s="153">
        <v>14455</v>
      </c>
      <c r="H23" s="118"/>
      <c r="I23" s="153">
        <v>17112</v>
      </c>
      <c r="J23" s="118"/>
      <c r="K23" s="153">
        <v>17112</v>
      </c>
      <c r="M23" s="76"/>
    </row>
    <row r="24" spans="1:13" s="40" customFormat="1" x14ac:dyDescent="0.2">
      <c r="A24" s="640" t="s">
        <v>1424</v>
      </c>
      <c r="B24" s="39"/>
      <c r="C24" s="1022">
        <v>78</v>
      </c>
      <c r="E24" s="151">
        <v>78</v>
      </c>
      <c r="F24" s="118"/>
      <c r="G24" s="151">
        <v>76</v>
      </c>
      <c r="H24" s="118"/>
      <c r="I24" s="151">
        <v>78</v>
      </c>
      <c r="J24" s="118"/>
      <c r="K24" s="151">
        <v>78</v>
      </c>
      <c r="M24" s="97"/>
    </row>
    <row r="25" spans="1:13" s="37" customFormat="1" x14ac:dyDescent="0.2">
      <c r="A25" s="549" t="s">
        <v>1425</v>
      </c>
      <c r="B25" s="36"/>
      <c r="C25" s="1024"/>
      <c r="E25" s="1025"/>
      <c r="F25" s="141"/>
      <c r="G25" s="402"/>
      <c r="H25" s="141"/>
      <c r="I25" s="402"/>
      <c r="J25" s="141"/>
      <c r="K25" s="141"/>
      <c r="M25" s="108"/>
    </row>
    <row r="26" spans="1:13" s="40" customFormat="1" x14ac:dyDescent="0.2">
      <c r="A26" s="578" t="s">
        <v>1426</v>
      </c>
      <c r="B26" s="39"/>
      <c r="C26" s="1026">
        <v>222968</v>
      </c>
      <c r="E26" s="1027">
        <v>238679</v>
      </c>
      <c r="F26" s="118"/>
      <c r="G26" s="112">
        <v>225000</v>
      </c>
      <c r="H26" s="118"/>
      <c r="I26" s="112">
        <v>239000</v>
      </c>
      <c r="J26" s="118"/>
      <c r="K26" s="112">
        <v>239000</v>
      </c>
      <c r="M26" s="76"/>
    </row>
    <row r="27" spans="1:13" s="40" customFormat="1" x14ac:dyDescent="0.2">
      <c r="A27" s="578" t="s">
        <v>1427</v>
      </c>
      <c r="B27" s="39"/>
      <c r="C27" s="1026">
        <v>74266</v>
      </c>
      <c r="E27" s="1027">
        <v>64067</v>
      </c>
      <c r="F27" s="118"/>
      <c r="G27" s="112">
        <v>75000</v>
      </c>
      <c r="H27" s="118"/>
      <c r="I27" s="112">
        <v>65000</v>
      </c>
      <c r="J27" s="118"/>
      <c r="K27" s="112">
        <v>65000</v>
      </c>
      <c r="M27" s="76"/>
    </row>
    <row r="28" spans="1:13" s="40" customFormat="1" x14ac:dyDescent="0.2">
      <c r="A28" s="578" t="s">
        <v>1428</v>
      </c>
      <c r="B28" s="39"/>
      <c r="C28" s="1026">
        <v>21246</v>
      </c>
      <c r="E28" s="1027">
        <v>17787</v>
      </c>
      <c r="F28" s="118"/>
      <c r="G28" s="112">
        <v>21500</v>
      </c>
      <c r="H28" s="118"/>
      <c r="I28" s="112">
        <v>18000</v>
      </c>
      <c r="J28" s="118"/>
      <c r="K28" s="112">
        <v>18000</v>
      </c>
      <c r="M28" s="76"/>
    </row>
    <row r="29" spans="1:13" s="40" customFormat="1" x14ac:dyDescent="0.2">
      <c r="A29" s="578" t="s">
        <v>1429</v>
      </c>
      <c r="B29" s="39"/>
      <c r="C29" s="1028"/>
      <c r="E29" s="1029"/>
      <c r="F29" s="118"/>
      <c r="G29" s="111"/>
      <c r="H29" s="118"/>
      <c r="I29" s="111"/>
      <c r="J29" s="118"/>
      <c r="K29" s="111"/>
      <c r="M29" s="63"/>
    </row>
    <row r="30" spans="1:13" s="40" customFormat="1" x14ac:dyDescent="0.2">
      <c r="A30" s="585" t="s">
        <v>1430</v>
      </c>
      <c r="B30" s="39"/>
      <c r="C30" s="1026">
        <v>3210</v>
      </c>
      <c r="E30" s="1027">
        <v>2617</v>
      </c>
      <c r="F30" s="118"/>
      <c r="G30" s="112">
        <v>3250</v>
      </c>
      <c r="H30" s="118"/>
      <c r="I30" s="112">
        <v>2600</v>
      </c>
      <c r="J30" s="118"/>
      <c r="K30" s="112">
        <v>2600</v>
      </c>
      <c r="M30" s="76"/>
    </row>
    <row r="31" spans="1:13" s="40" customFormat="1" x14ac:dyDescent="0.2">
      <c r="A31" s="585" t="s">
        <v>1431</v>
      </c>
      <c r="B31" s="39"/>
      <c r="C31" s="1026">
        <v>1275</v>
      </c>
      <c r="E31" s="1027">
        <v>1123</v>
      </c>
      <c r="F31" s="118"/>
      <c r="G31" s="112">
        <v>1275</v>
      </c>
      <c r="H31" s="118"/>
      <c r="I31" s="112">
        <v>1150</v>
      </c>
      <c r="J31" s="118"/>
      <c r="K31" s="112">
        <v>1150</v>
      </c>
      <c r="M31" s="76"/>
    </row>
    <row r="32" spans="1:13" s="37" customFormat="1" x14ac:dyDescent="0.2">
      <c r="A32" s="549" t="s">
        <v>1432</v>
      </c>
      <c r="B32" s="36"/>
      <c r="C32" s="1024"/>
      <c r="E32" s="1025"/>
      <c r="F32" s="141"/>
      <c r="G32" s="402"/>
      <c r="H32" s="141"/>
      <c r="I32" s="402"/>
      <c r="J32" s="141"/>
      <c r="K32" s="141"/>
      <c r="M32" s="87"/>
    </row>
    <row r="33" spans="1:15" s="40" customFormat="1" x14ac:dyDescent="0.2">
      <c r="A33" s="578" t="s">
        <v>1433</v>
      </c>
      <c r="B33" s="39"/>
      <c r="C33" s="588"/>
      <c r="E33" s="1023"/>
      <c r="F33" s="118"/>
      <c r="G33" s="111"/>
      <c r="H33" s="118"/>
      <c r="I33" s="111"/>
      <c r="J33" s="118"/>
      <c r="K33" s="118"/>
      <c r="M33" s="65"/>
    </row>
    <row r="34" spans="1:15" s="40" customFormat="1" x14ac:dyDescent="0.2">
      <c r="A34" s="585" t="s">
        <v>1434</v>
      </c>
      <c r="B34" s="39"/>
      <c r="C34" s="1030">
        <v>10.8</v>
      </c>
      <c r="E34" s="1031">
        <v>9</v>
      </c>
      <c r="F34" s="1031"/>
      <c r="G34" s="1031">
        <v>10</v>
      </c>
      <c r="H34" s="1031"/>
      <c r="I34" s="1031">
        <v>9</v>
      </c>
      <c r="J34" s="1031"/>
      <c r="K34" s="1031">
        <v>9</v>
      </c>
      <c r="M34" s="419"/>
    </row>
    <row r="35" spans="1:15" s="40" customFormat="1" x14ac:dyDescent="0.2">
      <c r="A35" s="640" t="s">
        <v>1435</v>
      </c>
      <c r="B35" s="39"/>
      <c r="C35" s="557">
        <v>34328</v>
      </c>
      <c r="E35" s="153">
        <v>24000</v>
      </c>
      <c r="F35" s="118"/>
      <c r="G35" s="112">
        <v>32000</v>
      </c>
      <c r="H35" s="118"/>
      <c r="I35" s="153">
        <v>24000</v>
      </c>
      <c r="J35" s="118"/>
      <c r="K35" s="153">
        <v>24000</v>
      </c>
      <c r="M35" s="76"/>
    </row>
    <row r="36" spans="1:15" s="40" customFormat="1" x14ac:dyDescent="0.2">
      <c r="A36" s="640" t="s">
        <v>1436</v>
      </c>
      <c r="B36" s="39"/>
      <c r="C36" s="1022">
        <v>315</v>
      </c>
      <c r="E36" s="151">
        <v>375</v>
      </c>
      <c r="F36" s="118"/>
      <c r="G36" s="126">
        <v>313</v>
      </c>
      <c r="H36" s="118"/>
      <c r="I36" s="151">
        <v>375</v>
      </c>
      <c r="J36" s="118"/>
      <c r="K36" s="151">
        <v>375</v>
      </c>
      <c r="M36" s="97"/>
      <c r="N36" s="98"/>
      <c r="O36" s="98"/>
    </row>
    <row r="37" spans="1:15" s="40" customFormat="1" x14ac:dyDescent="0.2">
      <c r="A37" s="640" t="s">
        <v>1437</v>
      </c>
      <c r="B37" s="39"/>
      <c r="C37" s="557">
        <v>162</v>
      </c>
      <c r="E37" s="153">
        <v>125</v>
      </c>
      <c r="F37" s="118"/>
      <c r="G37" s="112">
        <v>150</v>
      </c>
      <c r="H37" s="118"/>
      <c r="I37" s="153">
        <v>125</v>
      </c>
      <c r="J37" s="118"/>
      <c r="K37" s="153">
        <v>125</v>
      </c>
      <c r="M37" s="76"/>
    </row>
    <row r="38" spans="1:15" s="40" customFormat="1" x14ac:dyDescent="0.2">
      <c r="A38" s="585" t="s">
        <v>1438</v>
      </c>
      <c r="B38" s="39"/>
      <c r="C38" s="1030">
        <v>11.7</v>
      </c>
      <c r="E38" s="1031">
        <v>6.9</v>
      </c>
      <c r="F38" s="118"/>
      <c r="G38" s="998">
        <v>6.9</v>
      </c>
      <c r="H38" s="118"/>
      <c r="I38" s="998">
        <v>6.9</v>
      </c>
      <c r="J38" s="118"/>
      <c r="K38" s="998">
        <v>6.9</v>
      </c>
      <c r="M38" s="419"/>
    </row>
    <row r="39" spans="1:15" s="40" customFormat="1" x14ac:dyDescent="0.2">
      <c r="A39" s="640" t="s">
        <v>1435</v>
      </c>
      <c r="B39" s="39"/>
      <c r="C39" s="557">
        <v>2247</v>
      </c>
      <c r="E39" s="153">
        <v>1150</v>
      </c>
      <c r="F39" s="118"/>
      <c r="G39" s="112">
        <v>1150</v>
      </c>
      <c r="H39" s="118"/>
      <c r="I39" s="112">
        <v>1150</v>
      </c>
      <c r="J39" s="118"/>
      <c r="K39" s="112">
        <v>1150</v>
      </c>
      <c r="M39" s="76"/>
    </row>
    <row r="40" spans="1:15" s="40" customFormat="1" ht="14.25" x14ac:dyDescent="0.2">
      <c r="A40" s="640" t="s">
        <v>1439</v>
      </c>
      <c r="B40" s="39"/>
      <c r="C40" s="1022">
        <v>5207</v>
      </c>
      <c r="D40" s="1032"/>
      <c r="E40" s="209">
        <v>6000</v>
      </c>
      <c r="F40" s="1033"/>
      <c r="G40" s="126">
        <v>6000</v>
      </c>
      <c r="H40" s="1033"/>
      <c r="I40" s="126">
        <v>6000</v>
      </c>
      <c r="J40" s="1033"/>
      <c r="K40" s="126">
        <v>6000</v>
      </c>
      <c r="M40" s="97"/>
    </row>
    <row r="41" spans="1:15" s="40" customFormat="1" x14ac:dyDescent="0.2">
      <c r="A41" s="585" t="s">
        <v>1440</v>
      </c>
      <c r="B41" s="39"/>
      <c r="C41" s="588"/>
      <c r="E41" s="1023"/>
      <c r="F41" s="118"/>
      <c r="G41" s="111"/>
      <c r="H41" s="118"/>
      <c r="I41" s="111"/>
      <c r="J41" s="118"/>
      <c r="K41" s="118"/>
      <c r="M41" s="65"/>
    </row>
    <row r="42" spans="1:15" s="40" customFormat="1" x14ac:dyDescent="0.2">
      <c r="A42" s="640" t="s">
        <v>1441</v>
      </c>
      <c r="B42" s="39"/>
      <c r="C42" s="557">
        <v>18290</v>
      </c>
      <c r="E42" s="157">
        <v>18300</v>
      </c>
      <c r="F42" s="159"/>
      <c r="G42" s="159">
        <v>18300</v>
      </c>
      <c r="H42" s="159"/>
      <c r="I42" s="159">
        <v>18300</v>
      </c>
      <c r="J42" s="159"/>
      <c r="K42" s="159">
        <v>18300</v>
      </c>
      <c r="M42" s="76"/>
    </row>
    <row r="43" spans="1:15" s="40" customFormat="1" x14ac:dyDescent="0.2">
      <c r="A43" s="640" t="s">
        <v>1442</v>
      </c>
      <c r="B43" s="39"/>
      <c r="C43" s="557">
        <v>15547</v>
      </c>
      <c r="E43" s="157">
        <v>15555</v>
      </c>
      <c r="F43" s="159"/>
      <c r="G43" s="159">
        <v>15555</v>
      </c>
      <c r="H43" s="159"/>
      <c r="I43" s="159">
        <v>15555</v>
      </c>
      <c r="J43" s="159"/>
      <c r="K43" s="159">
        <v>15555</v>
      </c>
      <c r="M43" s="76"/>
    </row>
    <row r="44" spans="1:15" s="40" customFormat="1" ht="13.5" customHeight="1" x14ac:dyDescent="0.2">
      <c r="A44" s="1034" t="s">
        <v>1443</v>
      </c>
      <c r="B44" s="39"/>
      <c r="C44" s="557"/>
      <c r="E44" s="157"/>
      <c r="F44" s="159"/>
      <c r="G44" s="159"/>
      <c r="H44" s="159"/>
      <c r="I44" s="159"/>
      <c r="J44" s="159"/>
      <c r="K44" s="159"/>
      <c r="M44" s="76"/>
    </row>
    <row r="45" spans="1:15" s="40" customFormat="1" ht="11.25" customHeight="1" x14ac:dyDescent="0.2">
      <c r="A45" s="578" t="s">
        <v>1444</v>
      </c>
      <c r="B45" s="39"/>
      <c r="C45" s="557"/>
      <c r="E45" s="157"/>
      <c r="F45" s="159"/>
      <c r="G45" s="159"/>
      <c r="H45" s="159"/>
      <c r="I45" s="159"/>
      <c r="J45" s="159"/>
      <c r="K45" s="159"/>
      <c r="M45" s="76"/>
    </row>
    <row r="46" spans="1:15" s="40" customFormat="1" ht="15" customHeight="1" x14ac:dyDescent="0.2">
      <c r="A46" s="578" t="s">
        <v>1445</v>
      </c>
      <c r="B46" s="39"/>
      <c r="C46" s="557"/>
      <c r="E46" s="157"/>
      <c r="F46" s="159"/>
      <c r="G46" s="159"/>
      <c r="H46" s="159"/>
      <c r="I46" s="159"/>
      <c r="J46" s="159"/>
      <c r="K46" s="159"/>
      <c r="M46" s="76"/>
    </row>
    <row r="47" spans="1:15" s="40" customFormat="1" x14ac:dyDescent="0.2">
      <c r="A47" s="585" t="s">
        <v>1446</v>
      </c>
      <c r="B47" s="39"/>
      <c r="C47" s="557">
        <v>834</v>
      </c>
      <c r="E47" s="157">
        <v>1779</v>
      </c>
      <c r="F47" s="159"/>
      <c r="G47" s="159">
        <v>1832</v>
      </c>
      <c r="H47" s="159"/>
      <c r="I47" s="159">
        <v>1832</v>
      </c>
      <c r="J47" s="159"/>
      <c r="K47" s="159">
        <v>1740</v>
      </c>
      <c r="M47" s="76"/>
    </row>
    <row r="48" spans="1:15" s="40" customFormat="1" x14ac:dyDescent="0.2">
      <c r="A48" s="585" t="s">
        <v>1447</v>
      </c>
      <c r="B48" s="39"/>
      <c r="C48" s="557">
        <v>4479</v>
      </c>
      <c r="E48" s="157">
        <v>5835</v>
      </c>
      <c r="F48" s="159"/>
      <c r="G48" s="159">
        <v>6010</v>
      </c>
      <c r="H48" s="159"/>
      <c r="I48" s="159">
        <v>6010</v>
      </c>
      <c r="J48" s="159"/>
      <c r="K48" s="159">
        <v>5400</v>
      </c>
      <c r="M48" s="76"/>
    </row>
    <row r="49" spans="1:13" s="40" customFormat="1" x14ac:dyDescent="0.2">
      <c r="A49" s="585" t="s">
        <v>1448</v>
      </c>
      <c r="B49" s="39"/>
      <c r="C49" s="557">
        <v>365</v>
      </c>
      <c r="E49" s="157">
        <v>312</v>
      </c>
      <c r="F49" s="159"/>
      <c r="G49" s="159">
        <v>321</v>
      </c>
      <c r="H49" s="159"/>
      <c r="I49" s="159">
        <v>321</v>
      </c>
      <c r="J49" s="159"/>
      <c r="K49" s="159">
        <v>330</v>
      </c>
      <c r="M49" s="76"/>
    </row>
    <row r="50" spans="1:13" s="40" customFormat="1" x14ac:dyDescent="0.2">
      <c r="A50" s="585" t="s">
        <v>1449</v>
      </c>
      <c r="B50" s="39"/>
      <c r="C50" s="557">
        <v>2864</v>
      </c>
      <c r="E50" s="157">
        <v>3577</v>
      </c>
      <c r="F50" s="159"/>
      <c r="G50" s="159">
        <v>3684</v>
      </c>
      <c r="H50" s="159"/>
      <c r="I50" s="159">
        <v>3684</v>
      </c>
      <c r="J50" s="159"/>
      <c r="K50" s="159">
        <v>3500</v>
      </c>
      <c r="M50" s="76"/>
    </row>
    <row r="51" spans="1:13" s="40" customFormat="1" x14ac:dyDescent="0.2">
      <c r="A51" s="585" t="s">
        <v>1450</v>
      </c>
      <c r="B51" s="39"/>
      <c r="C51" s="557">
        <v>3068</v>
      </c>
      <c r="E51" s="157">
        <v>4692</v>
      </c>
      <c r="F51" s="159"/>
      <c r="G51" s="159">
        <v>4832</v>
      </c>
      <c r="H51" s="159"/>
      <c r="I51" s="159">
        <v>4832</v>
      </c>
      <c r="J51" s="159"/>
      <c r="K51" s="159">
        <v>4350</v>
      </c>
      <c r="M51" s="76"/>
    </row>
    <row r="52" spans="1:13" s="40" customFormat="1" ht="12" customHeight="1" x14ac:dyDescent="0.2">
      <c r="A52" s="578" t="s">
        <v>1451</v>
      </c>
      <c r="B52" s="39"/>
      <c r="C52" s="557"/>
      <c r="E52" s="157"/>
      <c r="F52" s="159"/>
      <c r="G52" s="159"/>
      <c r="H52" s="159"/>
      <c r="I52" s="159"/>
      <c r="J52" s="159"/>
      <c r="K52" s="159"/>
      <c r="M52" s="76"/>
    </row>
    <row r="53" spans="1:13" s="40" customFormat="1" ht="12" customHeight="1" x14ac:dyDescent="0.2">
      <c r="A53" s="578" t="s">
        <v>1452</v>
      </c>
      <c r="B53" s="39"/>
      <c r="C53" s="557"/>
      <c r="E53" s="157"/>
      <c r="F53" s="159"/>
      <c r="G53" s="159"/>
      <c r="H53" s="159"/>
      <c r="I53" s="159"/>
      <c r="J53" s="159"/>
      <c r="K53" s="159"/>
      <c r="M53" s="76"/>
    </row>
    <row r="54" spans="1:13" s="40" customFormat="1" ht="11.25" customHeight="1" x14ac:dyDescent="0.2">
      <c r="A54" s="585" t="s">
        <v>1446</v>
      </c>
      <c r="B54" s="39"/>
      <c r="C54" s="557">
        <v>1676</v>
      </c>
      <c r="E54" s="157">
        <v>1569</v>
      </c>
      <c r="F54" s="159"/>
      <c r="G54" s="159">
        <v>1778</v>
      </c>
      <c r="H54" s="159"/>
      <c r="I54" s="159">
        <v>1778</v>
      </c>
      <c r="J54" s="159"/>
      <c r="K54" s="159">
        <v>1600</v>
      </c>
      <c r="M54" s="76"/>
    </row>
    <row r="55" spans="1:13" s="40" customFormat="1" ht="12" customHeight="1" x14ac:dyDescent="0.2">
      <c r="A55" s="585" t="s">
        <v>1447</v>
      </c>
      <c r="B55" s="39"/>
      <c r="C55" s="557">
        <v>3265</v>
      </c>
      <c r="E55" s="157">
        <v>3453</v>
      </c>
      <c r="F55" s="159"/>
      <c r="G55" s="159">
        <v>3463</v>
      </c>
      <c r="H55" s="159"/>
      <c r="I55" s="159">
        <v>3463</v>
      </c>
      <c r="J55" s="159"/>
      <c r="K55" s="159">
        <v>3300</v>
      </c>
      <c r="M55" s="76"/>
    </row>
    <row r="56" spans="1:13" s="40" customFormat="1" x14ac:dyDescent="0.2">
      <c r="A56" s="585" t="s">
        <v>1448</v>
      </c>
      <c r="B56" s="39"/>
      <c r="C56" s="557">
        <v>244</v>
      </c>
      <c r="E56" s="157">
        <v>246</v>
      </c>
      <c r="F56" s="159"/>
      <c r="G56" s="159">
        <v>259</v>
      </c>
      <c r="H56" s="159"/>
      <c r="I56" s="159">
        <v>259</v>
      </c>
      <c r="J56" s="159"/>
      <c r="K56" s="159">
        <v>270</v>
      </c>
      <c r="M56" s="76"/>
    </row>
    <row r="57" spans="1:13" s="40" customFormat="1" x14ac:dyDescent="0.2">
      <c r="A57" s="585" t="s">
        <v>1449</v>
      </c>
      <c r="B57" s="39"/>
      <c r="C57" s="557">
        <v>2790</v>
      </c>
      <c r="E57" s="157">
        <v>3422</v>
      </c>
      <c r="F57" s="159"/>
      <c r="G57" s="159">
        <v>2960</v>
      </c>
      <c r="H57" s="159"/>
      <c r="I57" s="159">
        <v>2960</v>
      </c>
      <c r="J57" s="159"/>
      <c r="K57" s="159">
        <v>2800</v>
      </c>
      <c r="M57" s="76"/>
    </row>
    <row r="58" spans="1:13" s="40" customFormat="1" x14ac:dyDescent="0.2">
      <c r="A58" s="585" t="s">
        <v>1453</v>
      </c>
      <c r="B58" s="39"/>
      <c r="C58" s="557">
        <v>1993</v>
      </c>
      <c r="E58" s="157">
        <v>1991</v>
      </c>
      <c r="F58" s="159"/>
      <c r="G58" s="159">
        <v>2115</v>
      </c>
      <c r="H58" s="159"/>
      <c r="I58" s="159">
        <v>2115</v>
      </c>
      <c r="J58" s="159"/>
      <c r="K58" s="159">
        <v>2200</v>
      </c>
      <c r="M58" s="76"/>
    </row>
    <row r="59" spans="1:13" s="40" customFormat="1" x14ac:dyDescent="0.2">
      <c r="A59" s="578" t="s">
        <v>1454</v>
      </c>
      <c r="B59" s="1426"/>
      <c r="C59" s="557"/>
      <c r="E59" s="157"/>
      <c r="F59" s="159"/>
      <c r="G59" s="159"/>
      <c r="H59" s="159"/>
      <c r="I59" s="159"/>
      <c r="J59" s="159"/>
      <c r="K59" s="159"/>
      <c r="M59" s="76"/>
    </row>
    <row r="60" spans="1:13" s="40" customFormat="1" x14ac:dyDescent="0.2">
      <c r="A60" s="585" t="s">
        <v>1455</v>
      </c>
      <c r="B60" s="1426"/>
      <c r="C60" s="557">
        <v>5997</v>
      </c>
      <c r="E60" s="157">
        <v>4427</v>
      </c>
      <c r="F60" s="159"/>
      <c r="G60" s="159">
        <v>6450</v>
      </c>
      <c r="H60" s="159"/>
      <c r="I60" s="159">
        <v>3612</v>
      </c>
      <c r="J60" s="159"/>
      <c r="K60" s="159">
        <v>3612</v>
      </c>
      <c r="M60" s="76"/>
    </row>
    <row r="61" spans="1:13" s="40" customFormat="1" x14ac:dyDescent="0.2">
      <c r="A61" s="585" t="s">
        <v>1456</v>
      </c>
      <c r="B61" s="1426"/>
      <c r="C61" s="557">
        <v>2799</v>
      </c>
      <c r="E61" s="157">
        <v>1823</v>
      </c>
      <c r="F61" s="159"/>
      <c r="G61" s="159">
        <v>900</v>
      </c>
      <c r="H61" s="159"/>
      <c r="I61" s="159">
        <v>1481</v>
      </c>
      <c r="J61" s="159"/>
      <c r="K61" s="159">
        <v>1481</v>
      </c>
      <c r="M61" s="76"/>
    </row>
    <row r="62" spans="1:13" s="37" customFormat="1" x14ac:dyDescent="0.2">
      <c r="A62" s="549" t="s">
        <v>1457</v>
      </c>
      <c r="B62" s="36"/>
      <c r="C62" s="557"/>
      <c r="D62" s="40"/>
      <c r="E62" s="157"/>
      <c r="F62" s="159"/>
      <c r="G62" s="159"/>
      <c r="H62" s="159"/>
      <c r="I62" s="159"/>
      <c r="J62" s="159"/>
      <c r="K62" s="159"/>
      <c r="M62" s="616"/>
    </row>
    <row r="63" spans="1:13" s="40" customFormat="1" x14ac:dyDescent="0.2">
      <c r="A63" s="578" t="s">
        <v>1458</v>
      </c>
      <c r="B63" s="39"/>
      <c r="C63" s="1035">
        <v>2966</v>
      </c>
      <c r="E63" s="430">
        <v>2869</v>
      </c>
      <c r="F63" s="118"/>
      <c r="G63" s="1035">
        <v>2450</v>
      </c>
      <c r="H63" s="118"/>
      <c r="I63" s="1035">
        <v>2450</v>
      </c>
      <c r="J63" s="118"/>
      <c r="K63" s="639">
        <v>2450</v>
      </c>
      <c r="M63" s="62"/>
    </row>
    <row r="64" spans="1:13" s="40" customFormat="1" x14ac:dyDescent="0.2">
      <c r="A64" s="585" t="s">
        <v>1459</v>
      </c>
      <c r="B64" s="39"/>
      <c r="C64" s="153"/>
      <c r="E64" s="430"/>
      <c r="F64" s="118"/>
      <c r="G64" s="111"/>
      <c r="H64" s="118"/>
      <c r="I64" s="111"/>
      <c r="J64" s="118"/>
      <c r="K64" s="639"/>
      <c r="M64" s="63"/>
    </row>
    <row r="65" spans="1:13" s="40" customFormat="1" x14ac:dyDescent="0.2">
      <c r="A65" s="640" t="s">
        <v>1460</v>
      </c>
      <c r="B65" s="39"/>
      <c r="C65" s="153">
        <v>27014</v>
      </c>
      <c r="E65" s="429">
        <v>32697</v>
      </c>
      <c r="F65" s="118"/>
      <c r="G65" s="112">
        <v>36000</v>
      </c>
      <c r="H65" s="118"/>
      <c r="I65" s="112">
        <v>36000</v>
      </c>
      <c r="J65" s="118"/>
      <c r="K65" s="424">
        <v>36000</v>
      </c>
      <c r="M65" s="76"/>
    </row>
    <row r="66" spans="1:13" s="40" customFormat="1" x14ac:dyDescent="0.2">
      <c r="A66" s="640" t="s">
        <v>1461</v>
      </c>
      <c r="B66" s="39"/>
      <c r="C66" s="1035">
        <v>74752</v>
      </c>
      <c r="E66" s="430">
        <v>72675</v>
      </c>
      <c r="F66" s="118"/>
      <c r="G66" s="625">
        <v>75000</v>
      </c>
      <c r="H66" s="118"/>
      <c r="I66" s="625">
        <v>75000</v>
      </c>
      <c r="J66" s="118"/>
      <c r="K66" s="639">
        <v>75000</v>
      </c>
      <c r="M66" s="62"/>
    </row>
    <row r="67" spans="1:13" s="40" customFormat="1" x14ac:dyDescent="0.2">
      <c r="A67" s="585" t="s">
        <v>1462</v>
      </c>
      <c r="B67" s="39"/>
      <c r="C67" s="153"/>
      <c r="E67" s="430"/>
      <c r="F67" s="118"/>
      <c r="G67" s="111"/>
      <c r="H67" s="118"/>
      <c r="I67" s="111"/>
      <c r="J67" s="118"/>
      <c r="K67" s="639"/>
      <c r="M67" s="63"/>
    </row>
    <row r="68" spans="1:13" s="40" customFormat="1" x14ac:dyDescent="0.2">
      <c r="A68" s="640" t="s">
        <v>1463</v>
      </c>
      <c r="B68" s="39"/>
      <c r="C68" s="1035">
        <v>205</v>
      </c>
      <c r="E68" s="430">
        <v>213</v>
      </c>
      <c r="F68" s="118"/>
      <c r="G68" s="625">
        <v>210</v>
      </c>
      <c r="H68" s="118"/>
      <c r="I68" s="625">
        <v>210</v>
      </c>
      <c r="J68" s="118"/>
      <c r="K68" s="639">
        <v>210</v>
      </c>
      <c r="M68" s="62"/>
    </row>
    <row r="69" spans="1:13" s="40" customFormat="1" x14ac:dyDescent="0.2">
      <c r="A69" s="640" t="s">
        <v>1464</v>
      </c>
      <c r="B69" s="39"/>
      <c r="C69" s="562">
        <v>2574</v>
      </c>
      <c r="E69" s="430">
        <v>1787</v>
      </c>
      <c r="F69" s="118"/>
      <c r="G69" s="1035">
        <v>2200</v>
      </c>
      <c r="H69" s="118"/>
      <c r="I69" s="1035">
        <v>2200</v>
      </c>
      <c r="J69" s="118"/>
      <c r="K69" s="639">
        <v>2225</v>
      </c>
      <c r="M69" s="62"/>
    </row>
    <row r="70" spans="1:13" s="40" customFormat="1" x14ac:dyDescent="0.2">
      <c r="A70" s="585" t="s">
        <v>1465</v>
      </c>
      <c r="B70" s="39"/>
      <c r="C70" s="562">
        <v>498</v>
      </c>
      <c r="E70" s="430">
        <v>488</v>
      </c>
      <c r="F70" s="118"/>
      <c r="G70" s="1035">
        <v>550</v>
      </c>
      <c r="H70" s="118"/>
      <c r="I70" s="1035">
        <v>550</v>
      </c>
      <c r="J70" s="118"/>
      <c r="K70" s="639">
        <v>550</v>
      </c>
      <c r="M70" s="62"/>
    </row>
    <row r="71" spans="1:13" s="40" customFormat="1" x14ac:dyDescent="0.2">
      <c r="A71" s="585" t="s">
        <v>1466</v>
      </c>
      <c r="B71" s="39"/>
      <c r="C71" s="588"/>
      <c r="E71" s="430"/>
      <c r="F71" s="118"/>
      <c r="G71" s="111"/>
      <c r="H71" s="118"/>
      <c r="I71" s="111"/>
      <c r="J71" s="118"/>
      <c r="K71" s="118"/>
      <c r="M71" s="63"/>
    </row>
    <row r="72" spans="1:13" s="40" customFormat="1" x14ac:dyDescent="0.2">
      <c r="A72" s="640" t="s">
        <v>1467</v>
      </c>
      <c r="B72" s="39"/>
      <c r="C72" s="562">
        <v>479</v>
      </c>
      <c r="E72" s="430">
        <v>366</v>
      </c>
      <c r="F72" s="118"/>
      <c r="G72" s="625">
        <v>400</v>
      </c>
      <c r="H72" s="118"/>
      <c r="I72" s="625">
        <v>400</v>
      </c>
      <c r="J72" s="118"/>
      <c r="K72" s="433">
        <v>400</v>
      </c>
      <c r="M72" s="62"/>
    </row>
    <row r="73" spans="1:13" s="40" customFormat="1" x14ac:dyDescent="0.2">
      <c r="A73" s="640" t="s">
        <v>1468</v>
      </c>
      <c r="B73" s="39"/>
      <c r="C73" s="562">
        <v>992</v>
      </c>
      <c r="E73" s="430">
        <v>823</v>
      </c>
      <c r="F73" s="118"/>
      <c r="G73" s="625">
        <v>1000</v>
      </c>
      <c r="H73" s="118"/>
      <c r="I73" s="625">
        <v>1000</v>
      </c>
      <c r="J73" s="118"/>
      <c r="K73" s="433">
        <v>1000</v>
      </c>
      <c r="M73" s="62"/>
    </row>
    <row r="74" spans="1:13" s="40" customFormat="1" x14ac:dyDescent="0.2">
      <c r="A74" s="585" t="s">
        <v>1469</v>
      </c>
      <c r="B74" s="39"/>
      <c r="C74" s="588"/>
      <c r="E74" s="430"/>
      <c r="F74" s="118"/>
      <c r="G74" s="111"/>
      <c r="H74" s="118"/>
      <c r="I74" s="111"/>
      <c r="J74" s="118"/>
      <c r="K74" s="118"/>
      <c r="M74" s="65"/>
    </row>
    <row r="75" spans="1:13" s="40" customFormat="1" x14ac:dyDescent="0.2">
      <c r="A75" s="640" t="s">
        <v>1470</v>
      </c>
      <c r="B75" s="39"/>
      <c r="C75" s="562">
        <v>78</v>
      </c>
      <c r="D75" s="40" t="s">
        <v>737</v>
      </c>
      <c r="E75" s="430">
        <v>763</v>
      </c>
      <c r="F75" s="118"/>
      <c r="G75" s="625">
        <v>750</v>
      </c>
      <c r="H75" s="118"/>
      <c r="I75" s="625">
        <v>750</v>
      </c>
      <c r="J75" s="118"/>
      <c r="K75" s="433">
        <v>750</v>
      </c>
      <c r="M75" s="62"/>
    </row>
    <row r="76" spans="1:13" s="40" customFormat="1" x14ac:dyDescent="0.2">
      <c r="A76" s="585" t="s">
        <v>1471</v>
      </c>
      <c r="B76" s="39"/>
      <c r="C76" s="588"/>
      <c r="E76" s="430"/>
      <c r="F76" s="118"/>
      <c r="G76" s="111"/>
      <c r="H76" s="118"/>
      <c r="I76" s="111"/>
      <c r="J76" s="118"/>
      <c r="K76" s="118"/>
      <c r="M76" s="63"/>
    </row>
    <row r="77" spans="1:13" s="40" customFormat="1" x14ac:dyDescent="0.2">
      <c r="A77" s="640" t="s">
        <v>287</v>
      </c>
      <c r="B77" s="39"/>
      <c r="C77" s="562">
        <v>6762</v>
      </c>
      <c r="E77" s="430">
        <v>6522</v>
      </c>
      <c r="F77" s="1036"/>
      <c r="G77" s="639">
        <v>7400</v>
      </c>
      <c r="H77" s="1036"/>
      <c r="I77" s="639">
        <v>7000</v>
      </c>
      <c r="J77" s="1036"/>
      <c r="K77" s="1036">
        <v>7000</v>
      </c>
      <c r="M77" s="62"/>
    </row>
    <row r="78" spans="1:13" s="40" customFormat="1" x14ac:dyDescent="0.2">
      <c r="A78" s="640" t="s">
        <v>1472</v>
      </c>
      <c r="B78" s="39"/>
      <c r="C78" s="562">
        <v>1644</v>
      </c>
      <c r="E78" s="430">
        <v>1546</v>
      </c>
      <c r="F78" s="1036"/>
      <c r="G78" s="639">
        <v>1800</v>
      </c>
      <c r="H78" s="1036"/>
      <c r="I78" s="639">
        <v>1700</v>
      </c>
      <c r="J78" s="1036"/>
      <c r="K78" s="1036">
        <v>1700</v>
      </c>
      <c r="M78" s="62"/>
    </row>
    <row r="79" spans="1:13" s="40" customFormat="1" x14ac:dyDescent="0.2">
      <c r="A79" s="640" t="s">
        <v>1473</v>
      </c>
      <c r="B79" s="39"/>
      <c r="C79" s="562">
        <v>12359</v>
      </c>
      <c r="E79" s="430">
        <v>12293</v>
      </c>
      <c r="F79" s="1036"/>
      <c r="G79" s="639">
        <v>8000</v>
      </c>
      <c r="H79" s="1036"/>
      <c r="I79" s="639">
        <v>10000</v>
      </c>
      <c r="J79" s="1036"/>
      <c r="K79" s="1036">
        <v>10000</v>
      </c>
      <c r="M79" s="62"/>
    </row>
    <row r="80" spans="1:13" s="40" customFormat="1" x14ac:dyDescent="0.2">
      <c r="A80" s="640" t="s">
        <v>1474</v>
      </c>
      <c r="B80" s="39"/>
      <c r="C80" s="1037">
        <v>8</v>
      </c>
      <c r="E80" s="1038">
        <v>6.6</v>
      </c>
      <c r="F80" s="1039"/>
      <c r="G80" s="1040">
        <v>8</v>
      </c>
      <c r="H80" s="1039"/>
      <c r="I80" s="1040">
        <v>7</v>
      </c>
      <c r="J80" s="1039"/>
      <c r="K80" s="1041">
        <v>7.5</v>
      </c>
      <c r="M80" s="1042"/>
    </row>
    <row r="81" spans="1:13" s="40" customFormat="1" x14ac:dyDescent="0.2">
      <c r="A81" s="585" t="s">
        <v>1475</v>
      </c>
      <c r="B81" s="39"/>
      <c r="C81" s="588"/>
      <c r="E81" s="430"/>
      <c r="F81" s="118"/>
      <c r="G81" s="111"/>
      <c r="H81" s="118"/>
      <c r="I81" s="111"/>
      <c r="J81" s="118"/>
      <c r="K81" s="118"/>
      <c r="M81" s="63"/>
    </row>
    <row r="82" spans="1:13" s="40" customFormat="1" x14ac:dyDescent="0.2">
      <c r="A82" s="640" t="s">
        <v>436</v>
      </c>
      <c r="B82" s="39"/>
      <c r="C82" s="1035">
        <v>633</v>
      </c>
      <c r="E82" s="430">
        <v>630</v>
      </c>
      <c r="F82" s="118"/>
      <c r="G82" s="625">
        <v>835</v>
      </c>
      <c r="H82" s="118"/>
      <c r="I82" s="625">
        <v>650</v>
      </c>
      <c r="J82" s="118"/>
      <c r="K82" s="639">
        <v>650</v>
      </c>
      <c r="M82" s="62"/>
    </row>
    <row r="83" spans="1:13" s="40" customFormat="1" x14ac:dyDescent="0.2">
      <c r="A83" s="640" t="s">
        <v>1468</v>
      </c>
      <c r="B83" s="39"/>
      <c r="C83" s="153">
        <v>2634</v>
      </c>
      <c r="E83" s="429">
        <v>1910</v>
      </c>
      <c r="F83" s="118"/>
      <c r="G83" s="112">
        <v>3500</v>
      </c>
      <c r="H83" s="118"/>
      <c r="I83" s="112">
        <v>2700</v>
      </c>
      <c r="J83" s="118"/>
      <c r="K83" s="424">
        <v>2700</v>
      </c>
      <c r="M83" s="76"/>
    </row>
    <row r="84" spans="1:13" s="40" customFormat="1" x14ac:dyDescent="0.2">
      <c r="A84" s="585" t="s">
        <v>1476</v>
      </c>
      <c r="B84" s="39"/>
      <c r="C84" s="588"/>
      <c r="E84" s="1023"/>
      <c r="F84" s="118"/>
      <c r="G84" s="111"/>
      <c r="H84" s="118"/>
      <c r="I84" s="111"/>
      <c r="J84" s="118"/>
      <c r="K84" s="118"/>
      <c r="M84" s="63"/>
    </row>
    <row r="85" spans="1:13" s="40" customFormat="1" x14ac:dyDescent="0.2">
      <c r="A85" s="640" t="s">
        <v>1477</v>
      </c>
      <c r="B85" s="39"/>
      <c r="C85" s="562">
        <v>300</v>
      </c>
      <c r="E85" s="639">
        <v>253</v>
      </c>
      <c r="F85" s="1036"/>
      <c r="G85" s="639">
        <v>270</v>
      </c>
      <c r="H85" s="1036"/>
      <c r="I85" s="639">
        <v>250</v>
      </c>
      <c r="J85" s="1036"/>
      <c r="K85" s="1036">
        <v>250</v>
      </c>
      <c r="M85" s="62"/>
    </row>
    <row r="86" spans="1:13" s="40" customFormat="1" x14ac:dyDescent="0.2">
      <c r="A86" s="640" t="s">
        <v>1478</v>
      </c>
      <c r="B86" s="39"/>
      <c r="C86" s="562">
        <v>20</v>
      </c>
      <c r="E86" s="639">
        <v>25</v>
      </c>
      <c r="F86" s="1036"/>
      <c r="G86" s="639">
        <v>20</v>
      </c>
      <c r="H86" s="1036"/>
      <c r="I86" s="639">
        <v>20</v>
      </c>
      <c r="J86" s="1036"/>
      <c r="K86" s="1036">
        <v>20</v>
      </c>
      <c r="M86" s="62"/>
    </row>
    <row r="87" spans="1:13" s="40" customFormat="1" x14ac:dyDescent="0.2">
      <c r="A87" s="585" t="s">
        <v>1479</v>
      </c>
      <c r="B87" s="39"/>
      <c r="C87" s="588"/>
      <c r="E87" s="1023"/>
      <c r="F87" s="118"/>
      <c r="G87" s="111"/>
      <c r="H87" s="118"/>
      <c r="I87" s="111"/>
      <c r="J87" s="118"/>
      <c r="K87" s="118"/>
      <c r="M87" s="63"/>
    </row>
    <row r="88" spans="1:13" s="40" customFormat="1" x14ac:dyDescent="0.2">
      <c r="A88" s="640" t="s">
        <v>1477</v>
      </c>
      <c r="B88" s="39"/>
      <c r="C88" s="562">
        <v>8000</v>
      </c>
      <c r="E88" s="639">
        <v>6294</v>
      </c>
      <c r="F88" s="1036"/>
      <c r="G88" s="639">
        <v>8000</v>
      </c>
      <c r="H88" s="1036"/>
      <c r="I88" s="639">
        <v>7000</v>
      </c>
      <c r="J88" s="1036"/>
      <c r="K88" s="1036">
        <v>7000</v>
      </c>
      <c r="M88" s="62"/>
    </row>
    <row r="89" spans="1:13" s="37" customFormat="1" x14ac:dyDescent="0.2">
      <c r="A89" s="35" t="s">
        <v>1480</v>
      </c>
      <c r="B89" s="36"/>
      <c r="C89" s="87"/>
      <c r="E89" s="87"/>
      <c r="G89" s="87"/>
      <c r="I89" s="87"/>
    </row>
    <row r="90" spans="1:13" s="40" customFormat="1" x14ac:dyDescent="0.2">
      <c r="A90" s="41" t="s">
        <v>1481</v>
      </c>
      <c r="B90" s="39"/>
      <c r="C90" s="63"/>
      <c r="E90" s="63"/>
      <c r="G90" s="63"/>
      <c r="I90" s="63"/>
    </row>
    <row r="91" spans="1:13" s="40" customFormat="1" x14ac:dyDescent="0.2">
      <c r="A91" s="90" t="s">
        <v>1404</v>
      </c>
      <c r="B91" s="39"/>
      <c r="C91" s="76">
        <v>2307</v>
      </c>
      <c r="E91" s="76">
        <f>C98</f>
        <v>2383</v>
      </c>
      <c r="G91" s="76">
        <v>2408</v>
      </c>
      <c r="I91" s="76">
        <f>E98</f>
        <v>2206</v>
      </c>
      <c r="K91" s="78">
        <f>I98</f>
        <v>2056</v>
      </c>
      <c r="M91" s="76"/>
    </row>
    <row r="92" spans="1:13" s="40" customFormat="1" x14ac:dyDescent="0.2">
      <c r="A92" s="131" t="s">
        <v>1482</v>
      </c>
      <c r="B92" s="39"/>
      <c r="C92" s="76">
        <v>1807</v>
      </c>
      <c r="E92" s="76">
        <v>1475</v>
      </c>
      <c r="G92" s="76">
        <v>1850</v>
      </c>
      <c r="I92" s="76">
        <v>1450</v>
      </c>
      <c r="K92" s="78">
        <v>1400</v>
      </c>
      <c r="M92" s="76"/>
    </row>
    <row r="93" spans="1:13" s="40" customFormat="1" x14ac:dyDescent="0.2">
      <c r="A93" s="90" t="s">
        <v>1483</v>
      </c>
      <c r="B93" s="39"/>
      <c r="C93" s="76">
        <f>SUM(C94:C97)</f>
        <v>1731</v>
      </c>
      <c r="E93" s="76">
        <f t="shared" ref="E93" si="0">SUM(E94:E97)</f>
        <v>1652</v>
      </c>
      <c r="G93" s="76">
        <f t="shared" ref="G93" si="1">SUM(G94:G97)</f>
        <v>1870</v>
      </c>
      <c r="I93" s="76">
        <f t="shared" ref="I93" si="2">SUM(I94:I97)</f>
        <v>1600</v>
      </c>
      <c r="K93" s="76">
        <f t="shared" ref="K93" si="3">SUM(K94:K97)</f>
        <v>1500</v>
      </c>
      <c r="M93" s="76"/>
    </row>
    <row r="94" spans="1:13" s="40" customFormat="1" x14ac:dyDescent="0.2">
      <c r="A94" s="131" t="s">
        <v>1484</v>
      </c>
      <c r="B94" s="39"/>
      <c r="C94" s="76">
        <v>463</v>
      </c>
      <c r="E94" s="76">
        <v>470</v>
      </c>
      <c r="G94" s="76">
        <v>460</v>
      </c>
      <c r="I94" s="76">
        <v>460</v>
      </c>
      <c r="K94" s="76">
        <v>450</v>
      </c>
      <c r="M94" s="76"/>
    </row>
    <row r="95" spans="1:13" s="40" customFormat="1" x14ac:dyDescent="0.2">
      <c r="A95" s="131" t="s">
        <v>1485</v>
      </c>
      <c r="B95" s="39"/>
      <c r="C95" s="76">
        <v>1030</v>
      </c>
      <c r="E95" s="76">
        <v>955</v>
      </c>
      <c r="G95" s="76">
        <v>1200</v>
      </c>
      <c r="I95" s="76">
        <v>970</v>
      </c>
      <c r="K95" s="76">
        <v>870</v>
      </c>
      <c r="M95" s="76"/>
    </row>
    <row r="96" spans="1:13" s="40" customFormat="1" x14ac:dyDescent="0.2">
      <c r="A96" s="131" t="s">
        <v>1486</v>
      </c>
      <c r="B96" s="39"/>
      <c r="C96" s="76">
        <v>113</v>
      </c>
      <c r="E96" s="76">
        <v>112</v>
      </c>
      <c r="G96" s="76">
        <v>90</v>
      </c>
      <c r="I96" s="76">
        <v>50</v>
      </c>
      <c r="K96" s="76">
        <v>60</v>
      </c>
      <c r="M96" s="76"/>
    </row>
    <row r="97" spans="1:13" s="40" customFormat="1" x14ac:dyDescent="0.2">
      <c r="A97" s="131" t="s">
        <v>1487</v>
      </c>
      <c r="B97" s="39"/>
      <c r="C97" s="76">
        <v>125</v>
      </c>
      <c r="E97" s="76">
        <v>115</v>
      </c>
      <c r="G97" s="76">
        <v>120</v>
      </c>
      <c r="I97" s="76">
        <v>120</v>
      </c>
      <c r="K97" s="76">
        <v>120</v>
      </c>
      <c r="M97" s="76"/>
    </row>
    <row r="98" spans="1:13" s="40" customFormat="1" x14ac:dyDescent="0.2">
      <c r="A98" s="131" t="s">
        <v>1407</v>
      </c>
      <c r="B98" s="39"/>
      <c r="C98" s="76">
        <f>C91+C92-C93</f>
        <v>2383</v>
      </c>
      <c r="E98" s="76">
        <f t="shared" ref="E98" si="4">E91+E92-E93</f>
        <v>2206</v>
      </c>
      <c r="G98" s="76">
        <f t="shared" ref="G98" si="5">G91+G92-G93</f>
        <v>2388</v>
      </c>
      <c r="I98" s="76">
        <f t="shared" ref="I98" si="6">I91+I92-I93</f>
        <v>2056</v>
      </c>
      <c r="K98" s="76">
        <f t="shared" ref="K98" si="7">K91+K92-K93</f>
        <v>1956</v>
      </c>
      <c r="M98" s="76"/>
    </row>
    <row r="99" spans="1:13" s="40" customFormat="1" x14ac:dyDescent="0.2">
      <c r="A99" s="90" t="s">
        <v>1488</v>
      </c>
      <c r="B99" s="39"/>
      <c r="C99" s="63"/>
      <c r="E99" s="76"/>
      <c r="G99" s="63"/>
      <c r="I99" s="63"/>
      <c r="M99" s="63"/>
    </row>
    <row r="100" spans="1:13" s="40" customFormat="1" x14ac:dyDescent="0.2">
      <c r="A100" s="131" t="s">
        <v>1489</v>
      </c>
      <c r="B100" s="39"/>
      <c r="C100" s="76">
        <v>55</v>
      </c>
      <c r="E100" s="76">
        <f>C103</f>
        <v>56</v>
      </c>
      <c r="G100" s="76">
        <v>51</v>
      </c>
      <c r="I100" s="76">
        <f>E103</f>
        <v>39</v>
      </c>
      <c r="K100" s="76">
        <f>I103</f>
        <v>27</v>
      </c>
      <c r="M100" s="76"/>
    </row>
    <row r="101" spans="1:13" s="40" customFormat="1" x14ac:dyDescent="0.2">
      <c r="A101" s="131" t="s">
        <v>1490</v>
      </c>
      <c r="B101" s="39"/>
      <c r="C101" s="76">
        <v>1</v>
      </c>
      <c r="E101" s="76">
        <v>0</v>
      </c>
      <c r="G101" s="76">
        <v>10</v>
      </c>
      <c r="I101" s="76">
        <v>5</v>
      </c>
      <c r="K101" s="76">
        <v>4</v>
      </c>
      <c r="M101" s="76"/>
    </row>
    <row r="102" spans="1:13" s="40" customFormat="1" x14ac:dyDescent="0.2">
      <c r="A102" s="131" t="s">
        <v>1491</v>
      </c>
      <c r="B102" s="39"/>
      <c r="C102" s="76">
        <v>0</v>
      </c>
      <c r="E102" s="76">
        <v>17</v>
      </c>
      <c r="G102" s="76">
        <v>15</v>
      </c>
      <c r="I102" s="76">
        <v>17</v>
      </c>
      <c r="K102" s="76">
        <v>15</v>
      </c>
      <c r="M102" s="76"/>
    </row>
    <row r="103" spans="1:13" s="40" customFormat="1" x14ac:dyDescent="0.2">
      <c r="A103" s="131" t="s">
        <v>1407</v>
      </c>
      <c r="B103" s="39"/>
      <c r="C103" s="76">
        <f>C100+C101-C102</f>
        <v>56</v>
      </c>
      <c r="E103" s="76">
        <f t="shared" ref="E103" si="8">E100+E101-E102</f>
        <v>39</v>
      </c>
      <c r="G103" s="76">
        <f t="shared" ref="G103" si="9">G100+G101-G102</f>
        <v>46</v>
      </c>
      <c r="I103" s="76">
        <f t="shared" ref="I103" si="10">I100+I101-I102</f>
        <v>27</v>
      </c>
      <c r="K103" s="76">
        <f t="shared" ref="K103" si="11">K100+K101-K102</f>
        <v>16</v>
      </c>
      <c r="M103" s="76"/>
    </row>
    <row r="104" spans="1:13" s="40" customFormat="1" x14ac:dyDescent="0.2">
      <c r="A104" s="131"/>
      <c r="B104" s="39"/>
      <c r="C104" s="63"/>
      <c r="E104" s="63"/>
      <c r="G104" s="63"/>
      <c r="I104" s="63"/>
      <c r="M104" s="63"/>
    </row>
    <row r="105" spans="1:13" s="37" customFormat="1" x14ac:dyDescent="0.2">
      <c r="A105" s="35" t="s">
        <v>194</v>
      </c>
      <c r="B105" s="36"/>
      <c r="C105" s="87"/>
      <c r="G105" s="87"/>
      <c r="I105" s="87"/>
    </row>
    <row r="106" spans="1:13" s="37" customFormat="1" x14ac:dyDescent="0.2">
      <c r="A106" s="35" t="s">
        <v>1492</v>
      </c>
      <c r="B106" s="36"/>
      <c r="C106" s="87"/>
      <c r="G106" s="87"/>
      <c r="I106" s="87"/>
    </row>
    <row r="107" spans="1:13" s="40" customFormat="1" x14ac:dyDescent="0.2">
      <c r="A107" s="38" t="s">
        <v>196</v>
      </c>
      <c r="B107" s="39"/>
      <c r="C107" s="63"/>
      <c r="G107" s="63"/>
      <c r="I107" s="63"/>
      <c r="M107" s="64"/>
    </row>
    <row r="108" spans="1:13" s="40" customFormat="1" x14ac:dyDescent="0.2">
      <c r="A108" s="41" t="s">
        <v>197</v>
      </c>
      <c r="B108" s="39"/>
      <c r="C108" s="62">
        <v>177</v>
      </c>
      <c r="E108" s="42">
        <v>181</v>
      </c>
      <c r="G108" s="62">
        <v>175</v>
      </c>
      <c r="I108" s="62">
        <v>172</v>
      </c>
      <c r="K108" s="42">
        <v>178</v>
      </c>
      <c r="M108" s="43"/>
    </row>
    <row r="109" spans="1:13" s="40" customFormat="1" x14ac:dyDescent="0.2">
      <c r="A109" s="41" t="s">
        <v>261</v>
      </c>
      <c r="B109" s="39"/>
      <c r="C109" s="62">
        <v>715</v>
      </c>
      <c r="E109" s="42">
        <v>740</v>
      </c>
      <c r="G109" s="62">
        <v>732</v>
      </c>
      <c r="I109" s="62">
        <v>680</v>
      </c>
      <c r="K109" s="42">
        <v>700</v>
      </c>
      <c r="M109" s="43"/>
    </row>
    <row r="110" spans="1:13" s="40" customFormat="1" x14ac:dyDescent="0.2">
      <c r="A110" s="41" t="s">
        <v>262</v>
      </c>
      <c r="B110" s="39"/>
      <c r="C110" s="62">
        <v>21</v>
      </c>
      <c r="E110" s="42">
        <v>20</v>
      </c>
      <c r="G110" s="62">
        <v>21</v>
      </c>
      <c r="I110" s="62">
        <v>18</v>
      </c>
      <c r="K110" s="42">
        <v>22</v>
      </c>
      <c r="M110" s="43"/>
    </row>
    <row r="111" spans="1:13" s="40" customFormat="1" x14ac:dyDescent="0.2">
      <c r="A111" s="41" t="s">
        <v>198</v>
      </c>
      <c r="B111" s="39"/>
      <c r="C111" s="62">
        <f>SUM(C108:C110)</f>
        <v>913</v>
      </c>
      <c r="E111" s="42">
        <f>SUM(E108:E110)</f>
        <v>941</v>
      </c>
      <c r="G111" s="62">
        <f>SUM(G108:G110)</f>
        <v>928</v>
      </c>
      <c r="I111" s="62">
        <f>SUM(I108:I110)</f>
        <v>870</v>
      </c>
      <c r="K111" s="42">
        <f>SUM(K108:K110)</f>
        <v>900</v>
      </c>
      <c r="M111" s="43"/>
    </row>
    <row r="112" spans="1:13" s="40" customFormat="1" x14ac:dyDescent="0.2">
      <c r="A112" s="38" t="s">
        <v>199</v>
      </c>
      <c r="B112" s="39"/>
      <c r="C112" s="63"/>
      <c r="G112" s="63"/>
      <c r="I112" s="63"/>
      <c r="M112" s="64"/>
    </row>
    <row r="113" spans="1:17" s="40" customFormat="1" x14ac:dyDescent="0.2">
      <c r="A113" s="41" t="s">
        <v>1412</v>
      </c>
      <c r="B113" s="39"/>
      <c r="C113" s="62">
        <v>266</v>
      </c>
      <c r="E113" s="42">
        <v>284</v>
      </c>
      <c r="G113" s="62">
        <v>280</v>
      </c>
      <c r="I113" s="62">
        <v>274</v>
      </c>
      <c r="K113" s="42">
        <v>276</v>
      </c>
      <c r="M113" s="43"/>
      <c r="O113" s="77"/>
      <c r="P113" s="77"/>
      <c r="Q113" s="77"/>
    </row>
    <row r="114" spans="1:17" s="40" customFormat="1" x14ac:dyDescent="0.2">
      <c r="A114" s="41" t="s">
        <v>1425</v>
      </c>
      <c r="B114" s="39"/>
      <c r="C114" s="62">
        <v>408</v>
      </c>
      <c r="E114" s="42">
        <v>419</v>
      </c>
      <c r="G114" s="62">
        <v>416</v>
      </c>
      <c r="I114" s="62">
        <v>385</v>
      </c>
      <c r="K114" s="42">
        <v>383</v>
      </c>
      <c r="M114" s="43"/>
      <c r="P114" s="77"/>
      <c r="Q114" s="77"/>
    </row>
    <row r="115" spans="1:17" s="40" customFormat="1" x14ac:dyDescent="0.2">
      <c r="A115" s="41" t="s">
        <v>1432</v>
      </c>
      <c r="B115" s="39"/>
      <c r="C115" s="62">
        <v>39</v>
      </c>
      <c r="E115" s="42">
        <v>35</v>
      </c>
      <c r="G115" s="62">
        <v>35</v>
      </c>
      <c r="I115" s="62">
        <v>21</v>
      </c>
      <c r="K115" s="42">
        <v>38</v>
      </c>
      <c r="M115" s="43"/>
      <c r="P115" s="77"/>
      <c r="Q115" s="77"/>
    </row>
    <row r="116" spans="1:17" s="40" customFormat="1" x14ac:dyDescent="0.2">
      <c r="A116" s="41" t="s">
        <v>1457</v>
      </c>
      <c r="B116" s="39"/>
      <c r="C116" s="62">
        <v>165</v>
      </c>
      <c r="E116" s="42">
        <v>168</v>
      </c>
      <c r="G116" s="62">
        <v>162</v>
      </c>
      <c r="I116" s="62">
        <v>158</v>
      </c>
      <c r="K116" s="42">
        <v>168</v>
      </c>
      <c r="M116" s="43"/>
      <c r="O116" s="77"/>
      <c r="P116" s="77"/>
      <c r="Q116" s="77"/>
    </row>
    <row r="117" spans="1:17" s="40" customFormat="1" x14ac:dyDescent="0.2">
      <c r="A117" s="41" t="s">
        <v>1480</v>
      </c>
      <c r="B117" s="39"/>
      <c r="C117" s="62">
        <v>32</v>
      </c>
      <c r="E117" s="42">
        <v>33</v>
      </c>
      <c r="G117" s="62">
        <v>33</v>
      </c>
      <c r="I117" s="62">
        <v>30</v>
      </c>
      <c r="K117" s="42">
        <v>33</v>
      </c>
      <c r="M117" s="43"/>
    </row>
    <row r="118" spans="1:17" s="40" customFormat="1" x14ac:dyDescent="0.2">
      <c r="A118" s="41" t="s">
        <v>1493</v>
      </c>
      <c r="B118" s="39"/>
      <c r="C118" s="62">
        <v>3</v>
      </c>
      <c r="E118" s="42">
        <v>2</v>
      </c>
      <c r="G118" s="62">
        <v>2</v>
      </c>
      <c r="I118" s="62">
        <v>2</v>
      </c>
      <c r="K118" s="42">
        <v>2</v>
      </c>
      <c r="M118" s="43"/>
    </row>
    <row r="119" spans="1:17" s="40" customFormat="1" x14ac:dyDescent="0.2">
      <c r="A119" s="41" t="s">
        <v>198</v>
      </c>
      <c r="B119" s="39"/>
      <c r="C119" s="62">
        <f>SUM(C113:C118)</f>
        <v>913</v>
      </c>
      <c r="E119" s="44">
        <f>SUM(E113:E118)</f>
        <v>941</v>
      </c>
      <c r="G119" s="62">
        <f>SUM(G113:G118)</f>
        <v>928</v>
      </c>
      <c r="I119" s="62">
        <f>SUM(I113:I118)</f>
        <v>870</v>
      </c>
      <c r="K119" s="42">
        <f>SUM(K113:K118)</f>
        <v>900</v>
      </c>
      <c r="M119" s="43"/>
      <c r="O119" s="76"/>
      <c r="P119" s="76"/>
      <c r="Q119" s="76"/>
    </row>
    <row r="120" spans="1:17" s="37" customFormat="1" x14ac:dyDescent="0.2">
      <c r="A120" s="35"/>
      <c r="B120" s="36"/>
      <c r="C120" s="87"/>
      <c r="G120" s="87"/>
      <c r="I120" s="87"/>
    </row>
    <row r="121" spans="1:17" s="48" customFormat="1" x14ac:dyDescent="0.2">
      <c r="A121" s="46"/>
      <c r="B121" s="47"/>
    </row>
    <row r="122" spans="1:17" s="48" customFormat="1" x14ac:dyDescent="0.2">
      <c r="A122" s="49" t="s">
        <v>200</v>
      </c>
      <c r="B122" s="50"/>
      <c r="C122" s="51"/>
      <c r="D122" s="52"/>
      <c r="E122" s="53"/>
      <c r="F122" s="52"/>
      <c r="G122" s="53"/>
      <c r="H122" s="52"/>
      <c r="I122" s="53"/>
      <c r="J122" s="52"/>
      <c r="K122" s="53"/>
      <c r="L122" s="52"/>
      <c r="M122" s="51"/>
      <c r="N122" s="52"/>
    </row>
    <row r="123" spans="1:17" ht="27.75" customHeight="1" x14ac:dyDescent="0.2">
      <c r="A123" s="1738" t="s">
        <v>762</v>
      </c>
      <c r="B123" s="1736"/>
      <c r="C123" s="1737"/>
      <c r="D123" s="1736"/>
      <c r="E123" s="1737"/>
      <c r="F123" s="1736"/>
      <c r="G123" s="1737"/>
      <c r="H123" s="1736"/>
      <c r="I123" s="1737"/>
      <c r="J123" s="1736"/>
      <c r="K123" s="1737"/>
      <c r="L123" s="1736"/>
      <c r="M123" s="1737"/>
      <c r="N123" s="1736"/>
      <c r="O123" s="54"/>
      <c r="P123" s="54"/>
      <c r="Q123" s="951"/>
    </row>
    <row r="124" spans="1:17" ht="31.9" customHeight="1" x14ac:dyDescent="0.2">
      <c r="A124" s="1801" t="s">
        <v>1494</v>
      </c>
      <c r="B124" s="1802"/>
      <c r="C124" s="1803"/>
      <c r="D124" s="1802"/>
      <c r="E124" s="1803"/>
      <c r="F124" s="1802"/>
      <c r="G124" s="1803"/>
      <c r="H124" s="1802"/>
      <c r="I124" s="1803"/>
      <c r="J124" s="1802"/>
      <c r="K124" s="1803"/>
      <c r="L124" s="1802"/>
      <c r="M124" s="1803"/>
      <c r="N124" s="1802"/>
      <c r="O124" s="54"/>
      <c r="P124" s="54"/>
    </row>
    <row r="125" spans="1:17" x14ac:dyDescent="0.2">
      <c r="A125" s="1801" t="s">
        <v>1495</v>
      </c>
      <c r="B125" s="1802"/>
      <c r="C125" s="1803"/>
      <c r="D125" s="1802"/>
      <c r="E125" s="1803"/>
      <c r="F125" s="1802"/>
      <c r="G125" s="1803"/>
      <c r="H125" s="1802"/>
      <c r="I125" s="1803"/>
      <c r="J125" s="1802"/>
      <c r="K125" s="1803"/>
      <c r="L125" s="1802"/>
      <c r="M125" s="1803"/>
      <c r="N125" s="1802"/>
      <c r="O125" s="54"/>
      <c r="P125" s="54"/>
    </row>
    <row r="126" spans="1:17" x14ac:dyDescent="0.2">
      <c r="B126" s="25"/>
      <c r="C126" s="25"/>
      <c r="D126" s="25"/>
      <c r="E126" s="58"/>
      <c r="F126" s="58"/>
      <c r="G126" s="58"/>
      <c r="H126" s="58"/>
      <c r="O126" s="54"/>
      <c r="P126" s="54"/>
    </row>
    <row r="127" spans="1:17" x14ac:dyDescent="0.2">
      <c r="B127" s="25"/>
      <c r="C127" s="25"/>
      <c r="D127" s="25"/>
      <c r="E127" s="58"/>
      <c r="F127" s="58"/>
      <c r="G127" s="58"/>
      <c r="H127" s="58"/>
      <c r="O127" s="54"/>
      <c r="P127" s="54"/>
      <c r="Q127" s="57"/>
    </row>
    <row r="128" spans="1:17" x14ac:dyDescent="0.2">
      <c r="B128" s="25"/>
      <c r="C128" s="25"/>
      <c r="D128" s="25"/>
      <c r="E128" s="58"/>
      <c r="F128" s="58"/>
      <c r="G128" s="58"/>
      <c r="H128" s="58"/>
    </row>
    <row r="129" spans="2:8" x14ac:dyDescent="0.2">
      <c r="B129" s="25"/>
      <c r="C129" s="25"/>
      <c r="D129" s="25"/>
      <c r="E129" s="58"/>
      <c r="F129" s="58"/>
      <c r="G129" s="58"/>
      <c r="H129" s="58"/>
    </row>
    <row r="130" spans="2:8" x14ac:dyDescent="0.2">
      <c r="B130" s="25"/>
      <c r="C130" s="25"/>
      <c r="D130" s="25"/>
      <c r="E130" s="58"/>
      <c r="F130" s="58"/>
      <c r="G130" s="58"/>
      <c r="H130" s="58"/>
    </row>
    <row r="131" spans="2:8" x14ac:dyDescent="0.2">
      <c r="B131" s="25"/>
      <c r="C131" s="25"/>
      <c r="D131" s="25"/>
      <c r="E131" s="58"/>
      <c r="F131" s="58"/>
      <c r="G131" s="58"/>
      <c r="H131" s="58"/>
    </row>
    <row r="132" spans="2:8" x14ac:dyDescent="0.2">
      <c r="B132" s="25"/>
      <c r="C132" s="25"/>
      <c r="D132" s="25"/>
      <c r="E132" s="58"/>
      <c r="F132" s="58"/>
      <c r="G132" s="58"/>
      <c r="H132" s="58"/>
    </row>
    <row r="133" spans="2:8" x14ac:dyDescent="0.2">
      <c r="B133" s="25"/>
      <c r="C133" s="25"/>
      <c r="D133" s="25"/>
      <c r="E133" s="58"/>
      <c r="F133" s="58"/>
      <c r="G133" s="58"/>
      <c r="H133" s="58"/>
    </row>
    <row r="134" spans="2:8" x14ac:dyDescent="0.2">
      <c r="B134" s="25"/>
      <c r="C134" s="25"/>
      <c r="D134" s="25"/>
      <c r="E134" s="58"/>
      <c r="F134" s="58"/>
      <c r="G134" s="58"/>
      <c r="H134" s="58"/>
    </row>
    <row r="135" spans="2:8" x14ac:dyDescent="0.2">
      <c r="B135" s="25"/>
      <c r="C135" s="25"/>
      <c r="D135" s="25"/>
      <c r="E135" s="58"/>
      <c r="F135" s="58"/>
      <c r="G135" s="58"/>
      <c r="H135" s="58"/>
    </row>
    <row r="136" spans="2:8" x14ac:dyDescent="0.2">
      <c r="B136" s="25"/>
      <c r="C136" s="25"/>
      <c r="D136" s="25"/>
      <c r="E136" s="58"/>
      <c r="F136" s="58"/>
      <c r="G136" s="58"/>
      <c r="H136" s="58"/>
    </row>
    <row r="137" spans="2:8" x14ac:dyDescent="0.2">
      <c r="B137" s="25"/>
      <c r="C137" s="25"/>
      <c r="D137" s="25"/>
      <c r="E137" s="58"/>
      <c r="F137" s="58"/>
      <c r="G137" s="58"/>
      <c r="H137" s="58"/>
    </row>
    <row r="138" spans="2:8" x14ac:dyDescent="0.2">
      <c r="B138" s="25"/>
      <c r="C138" s="25"/>
      <c r="D138" s="25"/>
      <c r="E138" s="58"/>
      <c r="F138" s="58"/>
      <c r="G138" s="58"/>
      <c r="H138" s="58"/>
    </row>
    <row r="139" spans="2:8" x14ac:dyDescent="0.2">
      <c r="B139" s="25"/>
      <c r="C139" s="25"/>
      <c r="D139" s="25"/>
      <c r="E139" s="58"/>
      <c r="F139" s="58"/>
      <c r="G139" s="58"/>
      <c r="H139" s="58"/>
    </row>
    <row r="140" spans="2:8" x14ac:dyDescent="0.2">
      <c r="B140" s="25"/>
      <c r="C140" s="25"/>
      <c r="D140" s="25"/>
      <c r="E140" s="58"/>
      <c r="F140" s="58"/>
      <c r="G140" s="58"/>
      <c r="H140" s="58"/>
    </row>
    <row r="141" spans="2:8" x14ac:dyDescent="0.2">
      <c r="B141" s="25"/>
      <c r="C141" s="25"/>
      <c r="D141" s="25"/>
      <c r="E141" s="58"/>
      <c r="F141" s="58"/>
      <c r="G141" s="58"/>
      <c r="H141" s="58"/>
    </row>
    <row r="142" spans="2:8" x14ac:dyDescent="0.2">
      <c r="B142" s="25"/>
      <c r="C142" s="25"/>
      <c r="D142" s="25"/>
      <c r="E142" s="58"/>
      <c r="F142" s="58"/>
      <c r="G142" s="58"/>
      <c r="H142" s="58"/>
    </row>
    <row r="143" spans="2:8" x14ac:dyDescent="0.2">
      <c r="B143" s="25"/>
      <c r="C143" s="25"/>
      <c r="D143" s="25"/>
      <c r="E143" s="58"/>
      <c r="F143" s="58"/>
      <c r="G143" s="58"/>
      <c r="H143" s="58"/>
    </row>
    <row r="144" spans="2:8" x14ac:dyDescent="0.2">
      <c r="B144" s="25"/>
      <c r="C144" s="25"/>
      <c r="D144" s="25"/>
      <c r="E144" s="58"/>
      <c r="F144" s="58"/>
      <c r="G144" s="58"/>
      <c r="H144" s="58"/>
    </row>
    <row r="145" spans="2:8" x14ac:dyDescent="0.2">
      <c r="B145" s="25"/>
      <c r="C145" s="25"/>
      <c r="D145" s="25"/>
      <c r="E145" s="58"/>
      <c r="F145" s="58"/>
      <c r="G145" s="58"/>
      <c r="H145" s="58"/>
    </row>
    <row r="146" spans="2:8" x14ac:dyDescent="0.2">
      <c r="B146" s="25"/>
      <c r="C146" s="25"/>
      <c r="D146" s="25"/>
      <c r="E146" s="58"/>
      <c r="F146" s="58"/>
      <c r="G146" s="58"/>
      <c r="H146" s="58"/>
    </row>
    <row r="147" spans="2:8" x14ac:dyDescent="0.2">
      <c r="B147" s="25"/>
      <c r="C147" s="25"/>
      <c r="D147" s="25"/>
      <c r="E147" s="58"/>
      <c r="F147" s="58"/>
      <c r="G147" s="58"/>
      <c r="H147" s="58"/>
    </row>
    <row r="148" spans="2:8" x14ac:dyDescent="0.2">
      <c r="B148" s="25"/>
      <c r="C148" s="25"/>
      <c r="D148" s="25"/>
      <c r="E148" s="58"/>
      <c r="F148" s="58"/>
      <c r="G148" s="58"/>
      <c r="H148" s="58"/>
    </row>
    <row r="149" spans="2:8" x14ac:dyDescent="0.2">
      <c r="B149" s="25"/>
      <c r="C149" s="25"/>
      <c r="D149" s="25"/>
      <c r="E149" s="58"/>
      <c r="F149" s="58"/>
      <c r="G149" s="58"/>
      <c r="H149" s="58"/>
    </row>
    <row r="150" spans="2:8" x14ac:dyDescent="0.2">
      <c r="B150" s="25"/>
      <c r="C150" s="25"/>
      <c r="D150" s="25"/>
      <c r="E150" s="58"/>
      <c r="F150" s="58"/>
      <c r="G150" s="58"/>
      <c r="H150" s="58"/>
    </row>
    <row r="151" spans="2:8" x14ac:dyDescent="0.2">
      <c r="B151" s="25"/>
      <c r="C151" s="25"/>
      <c r="D151" s="25"/>
      <c r="E151" s="58"/>
      <c r="F151" s="58"/>
      <c r="G151" s="58"/>
      <c r="H151" s="58"/>
    </row>
    <row r="152" spans="2:8" x14ac:dyDescent="0.2">
      <c r="B152" s="25"/>
      <c r="C152" s="25"/>
      <c r="D152" s="25"/>
      <c r="E152" s="58"/>
      <c r="F152" s="58"/>
      <c r="G152" s="58"/>
      <c r="H152" s="58"/>
    </row>
    <row r="153" spans="2:8" x14ac:dyDescent="0.2">
      <c r="B153" s="25"/>
    </row>
    <row r="154" spans="2:8" x14ac:dyDescent="0.2">
      <c r="B154" s="25"/>
    </row>
    <row r="155" spans="2:8" x14ac:dyDescent="0.2">
      <c r="B155" s="25"/>
    </row>
    <row r="156" spans="2:8" x14ac:dyDescent="0.2">
      <c r="B156" s="25"/>
    </row>
    <row r="157" spans="2:8" x14ac:dyDescent="0.2">
      <c r="B157" s="25"/>
    </row>
    <row r="158" spans="2:8" x14ac:dyDescent="0.2">
      <c r="B158" s="25"/>
    </row>
    <row r="159" spans="2:8" x14ac:dyDescent="0.2">
      <c r="B159" s="25"/>
    </row>
    <row r="160" spans="2:8" x14ac:dyDescent="0.2">
      <c r="B160" s="25"/>
    </row>
    <row r="161" spans="2:2" x14ac:dyDescent="0.2">
      <c r="B161" s="25"/>
    </row>
    <row r="162" spans="2:2" x14ac:dyDescent="0.2">
      <c r="B162" s="25"/>
    </row>
    <row r="163" spans="2:2" x14ac:dyDescent="0.2">
      <c r="B163" s="25"/>
    </row>
    <row r="164" spans="2:2" x14ac:dyDescent="0.2">
      <c r="B164" s="25"/>
    </row>
    <row r="165" spans="2:2" x14ac:dyDescent="0.2">
      <c r="B165" s="25"/>
    </row>
    <row r="166" spans="2:2" x14ac:dyDescent="0.2">
      <c r="B166" s="25"/>
    </row>
    <row r="167" spans="2:2" x14ac:dyDescent="0.2">
      <c r="B167" s="25"/>
    </row>
    <row r="168" spans="2:2" x14ac:dyDescent="0.2">
      <c r="B168" s="25"/>
    </row>
    <row r="169" spans="2:2" x14ac:dyDescent="0.2">
      <c r="B169" s="25"/>
    </row>
  </sheetData>
  <mergeCells count="4">
    <mergeCell ref="A123:N123"/>
    <mergeCell ref="A124:N124"/>
    <mergeCell ref="A125:N125"/>
    <mergeCell ref="K2:K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rintOptions horizontalCentered="1"/>
  <pageMargins left="0.25" right="0.25" top="0.25" bottom="0.25" header="0.5" footer="0.5"/>
  <pageSetup scale="83" fitToHeight="2" pageOrder="overThenDown" orientation="portrait" blackAndWhite="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9">
    <pageSetUpPr fitToPage="1"/>
  </sheetPr>
  <dimension ref="A1:W152"/>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4.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c r="P2" s="4" t="s">
        <v>352</v>
      </c>
    </row>
    <row r="3" spans="1:16" s="4" customFormat="1" ht="15.75" x14ac:dyDescent="0.25">
      <c r="A3" s="1" t="s">
        <v>177</v>
      </c>
      <c r="B3" s="10" t="s">
        <v>1369</v>
      </c>
      <c r="C3" s="10" t="s">
        <v>1370</v>
      </c>
      <c r="D3" s="6"/>
      <c r="E3" s="11"/>
      <c r="F3" s="9"/>
      <c r="G3" s="11"/>
      <c r="H3" s="6"/>
      <c r="I3" s="11"/>
      <c r="J3" s="6"/>
      <c r="K3" s="1734"/>
      <c r="L3" s="6"/>
      <c r="M3" s="11"/>
      <c r="N3" s="6"/>
    </row>
    <row r="4" spans="1:16" s="4" customFormat="1" ht="15.75" x14ac:dyDescent="0.25">
      <c r="A4" s="1" t="s">
        <v>180</v>
      </c>
      <c r="B4" s="10" t="s">
        <v>1496</v>
      </c>
      <c r="C4" s="10" t="s">
        <v>36</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1043" t="s">
        <v>1497</v>
      </c>
      <c r="B11" s="36"/>
    </row>
    <row r="12" spans="1:16" s="40" customFormat="1" x14ac:dyDescent="0.2">
      <c r="A12" s="1044" t="s">
        <v>1498</v>
      </c>
      <c r="B12" s="39"/>
      <c r="C12" s="76">
        <v>1231</v>
      </c>
      <c r="D12" s="63"/>
      <c r="E12" s="76">
        <v>976</v>
      </c>
      <c r="G12" s="76">
        <v>750</v>
      </c>
      <c r="I12" s="76">
        <v>750</v>
      </c>
      <c r="K12" s="76">
        <v>750</v>
      </c>
      <c r="M12" s="78"/>
    </row>
    <row r="13" spans="1:16" s="40" customFormat="1" x14ac:dyDescent="0.2">
      <c r="A13" s="90" t="s">
        <v>1499</v>
      </c>
      <c r="B13" s="39"/>
      <c r="C13" s="76">
        <v>89942</v>
      </c>
      <c r="D13" s="63"/>
      <c r="E13" s="76">
        <v>68127</v>
      </c>
      <c r="G13" s="76">
        <v>60000</v>
      </c>
      <c r="I13" s="76">
        <v>55000</v>
      </c>
      <c r="K13" s="76">
        <v>70000</v>
      </c>
      <c r="M13" s="78"/>
    </row>
    <row r="14" spans="1:16" s="40" customFormat="1" x14ac:dyDescent="0.2">
      <c r="A14" s="90" t="s">
        <v>1500</v>
      </c>
      <c r="B14" s="39"/>
      <c r="C14" s="76">
        <v>39967</v>
      </c>
      <c r="D14" s="63"/>
      <c r="E14" s="76">
        <v>56816</v>
      </c>
      <c r="G14" s="76">
        <v>40000</v>
      </c>
      <c r="I14" s="76">
        <v>40000</v>
      </c>
      <c r="K14" s="76">
        <v>42000</v>
      </c>
      <c r="M14" s="78"/>
    </row>
    <row r="15" spans="1:16" s="40" customFormat="1" x14ac:dyDescent="0.2">
      <c r="A15" s="90" t="s">
        <v>1501</v>
      </c>
      <c r="B15" s="39"/>
      <c r="C15" s="76">
        <v>29143</v>
      </c>
      <c r="D15" s="63"/>
      <c r="E15" s="76">
        <v>41104</v>
      </c>
      <c r="G15" s="76">
        <v>30000</v>
      </c>
      <c r="I15" s="76">
        <v>30000</v>
      </c>
      <c r="K15" s="76">
        <v>30000</v>
      </c>
      <c r="M15" s="78"/>
    </row>
    <row r="16" spans="1:16" s="40" customFormat="1" x14ac:dyDescent="0.2">
      <c r="A16" s="1044" t="s">
        <v>1502</v>
      </c>
      <c r="B16" s="39"/>
      <c r="M16" s="78"/>
    </row>
    <row r="17" spans="1:13" s="40" customFormat="1" x14ac:dyDescent="0.2">
      <c r="A17" s="90" t="s">
        <v>10</v>
      </c>
      <c r="B17" s="39"/>
      <c r="C17" s="76">
        <v>3785</v>
      </c>
      <c r="D17" s="63"/>
      <c r="E17" s="76">
        <v>3574</v>
      </c>
      <c r="G17" s="76">
        <v>3500</v>
      </c>
      <c r="I17" s="76">
        <v>3500</v>
      </c>
      <c r="K17" s="76">
        <v>3500</v>
      </c>
      <c r="M17" s="78"/>
    </row>
    <row r="18" spans="1:13" s="40" customFormat="1" x14ac:dyDescent="0.2">
      <c r="A18" s="90" t="s">
        <v>614</v>
      </c>
      <c r="B18" s="39"/>
      <c r="C18" s="76">
        <v>5306</v>
      </c>
      <c r="D18" s="63"/>
      <c r="E18" s="76">
        <v>5313</v>
      </c>
      <c r="G18" s="76">
        <v>5000</v>
      </c>
      <c r="I18" s="76">
        <v>5000</v>
      </c>
      <c r="K18" s="76">
        <v>5000</v>
      </c>
      <c r="M18" s="78"/>
    </row>
    <row r="19" spans="1:13" s="40" customFormat="1" x14ac:dyDescent="0.2">
      <c r="A19" s="1044" t="s">
        <v>1503</v>
      </c>
      <c r="B19" s="39"/>
      <c r="C19" s="76">
        <v>208</v>
      </c>
      <c r="D19" s="63"/>
      <c r="E19" s="76">
        <v>143</v>
      </c>
      <c r="G19" s="76">
        <v>240</v>
      </c>
      <c r="I19" s="76">
        <v>240</v>
      </c>
      <c r="K19" s="76">
        <v>230</v>
      </c>
      <c r="M19" s="78"/>
    </row>
    <row r="20" spans="1:13" s="40" customFormat="1" x14ac:dyDescent="0.2">
      <c r="A20" s="1044" t="s">
        <v>1504</v>
      </c>
      <c r="B20" s="39"/>
      <c r="C20" s="76">
        <v>3541</v>
      </c>
      <c r="D20" s="63"/>
      <c r="E20" s="76">
        <v>3124</v>
      </c>
      <c r="G20" s="76">
        <v>2500</v>
      </c>
      <c r="I20" s="76">
        <v>2500</v>
      </c>
      <c r="K20" s="76">
        <v>2500</v>
      </c>
      <c r="M20" s="78"/>
    </row>
    <row r="21" spans="1:13" s="40" customFormat="1" x14ac:dyDescent="0.2">
      <c r="A21" s="90" t="s">
        <v>1499</v>
      </c>
      <c r="B21" s="39"/>
      <c r="C21" s="76">
        <v>19780</v>
      </c>
      <c r="D21" s="63"/>
      <c r="E21" s="76">
        <v>18396</v>
      </c>
      <c r="G21" s="76">
        <v>14300</v>
      </c>
      <c r="I21" s="76">
        <v>14300</v>
      </c>
      <c r="K21" s="76">
        <v>14300</v>
      </c>
      <c r="M21" s="78"/>
    </row>
    <row r="22" spans="1:13" s="40" customFormat="1" x14ac:dyDescent="0.2">
      <c r="A22" s="90" t="s">
        <v>1500</v>
      </c>
      <c r="B22" s="39"/>
      <c r="C22" s="76">
        <v>8282</v>
      </c>
      <c r="D22" s="63"/>
      <c r="E22" s="76">
        <v>15429</v>
      </c>
      <c r="G22" s="76">
        <v>8000</v>
      </c>
      <c r="I22" s="76">
        <v>8000</v>
      </c>
      <c r="K22" s="76">
        <v>8500</v>
      </c>
      <c r="M22" s="78"/>
    </row>
    <row r="23" spans="1:13" s="40" customFormat="1" x14ac:dyDescent="0.2">
      <c r="A23" s="90" t="s">
        <v>1501</v>
      </c>
      <c r="B23" s="39"/>
      <c r="C23" s="76">
        <v>10626</v>
      </c>
      <c r="D23" s="63"/>
      <c r="E23" s="76">
        <v>12324</v>
      </c>
      <c r="G23" s="76">
        <v>12000</v>
      </c>
      <c r="I23" s="76">
        <v>12000</v>
      </c>
      <c r="K23" s="76">
        <v>12000</v>
      </c>
      <c r="M23" s="78"/>
    </row>
    <row r="24" spans="1:13" s="40" customFormat="1" x14ac:dyDescent="0.2">
      <c r="A24" s="90" t="s">
        <v>1505</v>
      </c>
      <c r="B24" s="39"/>
      <c r="C24" s="76">
        <v>2753</v>
      </c>
      <c r="D24" s="112"/>
      <c r="E24" s="104">
        <v>2563</v>
      </c>
      <c r="G24" s="104">
        <v>2000</v>
      </c>
      <c r="I24" s="104">
        <v>2500</v>
      </c>
      <c r="K24" s="104">
        <v>2500</v>
      </c>
      <c r="M24" s="78"/>
    </row>
    <row r="25" spans="1:13" s="40" customFormat="1" x14ac:dyDescent="0.2">
      <c r="A25" s="41" t="s">
        <v>1506</v>
      </c>
      <c r="B25" s="39"/>
      <c r="C25" s="76">
        <v>31</v>
      </c>
      <c r="D25" s="63"/>
      <c r="E25" s="104">
        <v>29</v>
      </c>
      <c r="G25" s="104">
        <v>25</v>
      </c>
      <c r="I25" s="104">
        <v>25</v>
      </c>
      <c r="K25" s="104">
        <v>25</v>
      </c>
      <c r="M25" s="78"/>
    </row>
    <row r="26" spans="1:13" s="40" customFormat="1" x14ac:dyDescent="0.2">
      <c r="A26" s="858" t="s">
        <v>1507</v>
      </c>
      <c r="B26" s="39"/>
      <c r="C26" s="76">
        <v>30</v>
      </c>
      <c r="D26" s="63"/>
      <c r="E26" s="104">
        <v>0</v>
      </c>
      <c r="G26" s="104">
        <v>10</v>
      </c>
      <c r="I26" s="104">
        <v>10</v>
      </c>
      <c r="K26" s="104">
        <v>10</v>
      </c>
      <c r="M26" s="78"/>
    </row>
    <row r="27" spans="1:13" s="40" customFormat="1" x14ac:dyDescent="0.2">
      <c r="A27" s="858" t="s">
        <v>1508</v>
      </c>
      <c r="B27" s="39"/>
      <c r="C27" s="76">
        <v>1</v>
      </c>
      <c r="D27" s="63"/>
      <c r="E27" s="104">
        <v>29</v>
      </c>
      <c r="G27" s="104">
        <v>15</v>
      </c>
      <c r="I27" s="104">
        <v>15</v>
      </c>
      <c r="K27" s="104">
        <v>15</v>
      </c>
      <c r="M27" s="78"/>
    </row>
    <row r="28" spans="1:13" s="40" customFormat="1" x14ac:dyDescent="0.2">
      <c r="A28" s="1044" t="s">
        <v>1509</v>
      </c>
      <c r="B28" s="39"/>
      <c r="M28" s="78"/>
    </row>
    <row r="29" spans="1:13" s="40" customFormat="1" x14ac:dyDescent="0.2">
      <c r="A29" s="90" t="s">
        <v>1510</v>
      </c>
      <c r="B29" s="39"/>
      <c r="C29" s="100">
        <v>0.05</v>
      </c>
      <c r="D29" s="63"/>
      <c r="E29" s="100">
        <v>1.6E-2</v>
      </c>
      <c r="G29" s="100">
        <v>0.05</v>
      </c>
      <c r="I29" s="100">
        <v>0.05</v>
      </c>
      <c r="K29" s="100">
        <v>0.05</v>
      </c>
      <c r="M29" s="441"/>
    </row>
    <row r="30" spans="1:13" s="40" customFormat="1" x14ac:dyDescent="0.2">
      <c r="A30" s="858" t="s">
        <v>1511</v>
      </c>
      <c r="B30" s="39"/>
      <c r="C30" s="76">
        <v>115</v>
      </c>
      <c r="D30" s="63"/>
      <c r="E30" s="76">
        <v>112</v>
      </c>
      <c r="G30" s="76">
        <v>99</v>
      </c>
      <c r="I30" s="76">
        <v>110</v>
      </c>
      <c r="K30" s="76">
        <v>110</v>
      </c>
      <c r="M30" s="78"/>
    </row>
    <row r="31" spans="1:13" s="40" customFormat="1" x14ac:dyDescent="0.2">
      <c r="A31" s="1044" t="s">
        <v>1512</v>
      </c>
      <c r="B31" s="39"/>
      <c r="M31" s="78"/>
    </row>
    <row r="32" spans="1:13" s="40" customFormat="1" x14ac:dyDescent="0.2">
      <c r="A32" s="90" t="s">
        <v>1513</v>
      </c>
      <c r="B32" s="39"/>
      <c r="C32" s="76">
        <v>195</v>
      </c>
      <c r="D32" s="63"/>
      <c r="E32" s="76">
        <v>204</v>
      </c>
      <c r="G32" s="76">
        <v>190</v>
      </c>
      <c r="I32" s="76">
        <v>200</v>
      </c>
      <c r="K32" s="76">
        <v>200</v>
      </c>
      <c r="M32" s="78"/>
    </row>
    <row r="33" spans="1:13" s="40" customFormat="1" x14ac:dyDescent="0.2">
      <c r="A33" s="90" t="s">
        <v>1514</v>
      </c>
      <c r="B33" s="39"/>
      <c r="C33" s="76">
        <v>250</v>
      </c>
      <c r="D33" s="63"/>
      <c r="E33" s="76">
        <v>340</v>
      </c>
      <c r="G33" s="76">
        <v>250</v>
      </c>
      <c r="I33" s="76">
        <v>265</v>
      </c>
      <c r="K33" s="76">
        <v>280</v>
      </c>
      <c r="M33" s="78"/>
    </row>
    <row r="34" spans="1:13" s="40" customFormat="1" x14ac:dyDescent="0.2">
      <c r="A34" s="90" t="s">
        <v>1515</v>
      </c>
      <c r="B34" s="39"/>
      <c r="C34" s="76">
        <v>195</v>
      </c>
      <c r="D34" s="63"/>
      <c r="E34" s="76">
        <v>332</v>
      </c>
      <c r="G34" s="76">
        <v>0</v>
      </c>
      <c r="I34" s="76">
        <v>0</v>
      </c>
      <c r="K34" s="76">
        <v>225</v>
      </c>
      <c r="M34" s="78"/>
    </row>
    <row r="35" spans="1:13" s="40" customFormat="1" x14ac:dyDescent="0.2">
      <c r="A35" s="90" t="s">
        <v>1516</v>
      </c>
      <c r="B35" s="39"/>
      <c r="C35" s="76">
        <v>280</v>
      </c>
      <c r="D35" s="63"/>
      <c r="E35" s="76">
        <v>292</v>
      </c>
      <c r="G35" s="76">
        <v>300</v>
      </c>
      <c r="I35" s="76">
        <v>310</v>
      </c>
      <c r="K35" s="76">
        <v>310</v>
      </c>
      <c r="M35" s="78"/>
    </row>
    <row r="36" spans="1:13" s="40" customFormat="1" x14ac:dyDescent="0.2">
      <c r="A36" s="1044" t="s">
        <v>1517</v>
      </c>
      <c r="B36" s="39"/>
      <c r="M36" s="78"/>
    </row>
    <row r="37" spans="1:13" s="40" customFormat="1" x14ac:dyDescent="0.2">
      <c r="A37" s="858" t="s">
        <v>1518</v>
      </c>
      <c r="B37" s="39"/>
      <c r="C37" s="76">
        <v>120</v>
      </c>
      <c r="D37" s="63"/>
      <c r="E37" s="76">
        <v>125</v>
      </c>
      <c r="G37" s="76">
        <v>125</v>
      </c>
      <c r="I37" s="76">
        <v>150</v>
      </c>
      <c r="K37" s="76">
        <v>150</v>
      </c>
      <c r="M37" s="78"/>
    </row>
    <row r="38" spans="1:13" s="40" customFormat="1" x14ac:dyDescent="0.2">
      <c r="A38" s="858" t="s">
        <v>1519</v>
      </c>
      <c r="B38" s="39"/>
      <c r="C38" s="76">
        <v>525</v>
      </c>
      <c r="D38" s="63"/>
      <c r="E38" s="76">
        <v>540</v>
      </c>
      <c r="G38" s="76">
        <v>540</v>
      </c>
      <c r="I38" s="76">
        <v>550</v>
      </c>
      <c r="K38" s="76">
        <v>550</v>
      </c>
      <c r="M38" s="78"/>
    </row>
    <row r="39" spans="1:13" s="40" customFormat="1" x14ac:dyDescent="0.2">
      <c r="A39" s="858" t="s">
        <v>1520</v>
      </c>
      <c r="B39" s="39"/>
      <c r="C39" s="76">
        <v>724</v>
      </c>
      <c r="D39" s="63"/>
      <c r="E39" s="76">
        <v>681</v>
      </c>
      <c r="G39" s="76">
        <v>600</v>
      </c>
      <c r="I39" s="76">
        <v>600</v>
      </c>
      <c r="K39" s="76">
        <v>650</v>
      </c>
      <c r="M39" s="78"/>
    </row>
    <row r="40" spans="1:13" s="40" customFormat="1" x14ac:dyDescent="0.2">
      <c r="A40" s="858" t="s">
        <v>1521</v>
      </c>
      <c r="B40" s="39"/>
      <c r="C40" s="76">
        <v>1402</v>
      </c>
      <c r="D40" s="63"/>
      <c r="E40" s="76">
        <v>1550</v>
      </c>
      <c r="G40" s="76">
        <v>1050</v>
      </c>
      <c r="I40" s="76">
        <v>1050</v>
      </c>
      <c r="K40" s="76">
        <v>1200</v>
      </c>
      <c r="M40" s="78"/>
    </row>
    <row r="41" spans="1:13" s="40" customFormat="1" x14ac:dyDescent="0.2">
      <c r="A41" s="1045" t="s">
        <v>1522</v>
      </c>
      <c r="B41" s="39"/>
      <c r="M41" s="78"/>
    </row>
    <row r="42" spans="1:13" s="40" customFormat="1" x14ac:dyDescent="0.2">
      <c r="A42" s="90" t="s">
        <v>1523</v>
      </c>
      <c r="B42" s="39"/>
      <c r="C42" s="76">
        <v>914</v>
      </c>
      <c r="D42" s="63"/>
      <c r="E42" s="76">
        <v>782</v>
      </c>
      <c r="G42" s="76">
        <v>750</v>
      </c>
      <c r="I42" s="76">
        <v>750</v>
      </c>
      <c r="K42" s="76">
        <v>750</v>
      </c>
      <c r="M42" s="78"/>
    </row>
    <row r="43" spans="1:13" s="40" customFormat="1" x14ac:dyDescent="0.2">
      <c r="A43" s="858" t="s">
        <v>1524</v>
      </c>
      <c r="B43" s="39"/>
      <c r="C43" s="76">
        <v>1929</v>
      </c>
      <c r="D43" s="63"/>
      <c r="E43" s="76">
        <v>2625</v>
      </c>
      <c r="G43" s="76">
        <v>1450</v>
      </c>
      <c r="I43" s="76">
        <v>1450</v>
      </c>
      <c r="K43" s="76">
        <v>1450</v>
      </c>
      <c r="M43" s="417"/>
    </row>
    <row r="44" spans="1:13" s="40" customFormat="1" x14ac:dyDescent="0.2">
      <c r="A44" s="1044" t="s">
        <v>1525</v>
      </c>
      <c r="B44" s="39"/>
      <c r="M44" s="78"/>
    </row>
    <row r="45" spans="1:13" s="40" customFormat="1" x14ac:dyDescent="0.2">
      <c r="A45" s="858" t="s">
        <v>1526</v>
      </c>
      <c r="B45" s="39"/>
      <c r="M45" s="78"/>
    </row>
    <row r="46" spans="1:13" s="40" customFormat="1" x14ac:dyDescent="0.2">
      <c r="A46" s="863" t="s">
        <v>1527</v>
      </c>
      <c r="B46" s="39"/>
      <c r="C46" s="76">
        <v>295</v>
      </c>
      <c r="D46" s="63"/>
      <c r="E46" s="76">
        <v>243</v>
      </c>
      <c r="G46" s="76">
        <v>300</v>
      </c>
      <c r="I46" s="76">
        <v>300</v>
      </c>
      <c r="K46" s="76">
        <v>300</v>
      </c>
      <c r="M46" s="78"/>
    </row>
    <row r="47" spans="1:13" s="40" customFormat="1" x14ac:dyDescent="0.2">
      <c r="A47" s="863" t="s">
        <v>1528</v>
      </c>
      <c r="B47" s="39"/>
      <c r="C47" s="76">
        <v>506</v>
      </c>
      <c r="D47" s="63"/>
      <c r="E47" s="76">
        <v>327</v>
      </c>
      <c r="G47" s="76">
        <v>500</v>
      </c>
      <c r="I47" s="76">
        <v>500</v>
      </c>
      <c r="K47" s="76">
        <v>500</v>
      </c>
      <c r="M47" s="417"/>
    </row>
    <row r="48" spans="1:13" s="40" customFormat="1" x14ac:dyDescent="0.2">
      <c r="A48" s="1044" t="s">
        <v>1529</v>
      </c>
      <c r="B48" s="39"/>
      <c r="C48" s="76">
        <v>80</v>
      </c>
      <c r="D48" s="63"/>
      <c r="E48" s="76">
        <v>134</v>
      </c>
      <c r="G48" s="76">
        <v>85</v>
      </c>
      <c r="I48" s="76">
        <v>100</v>
      </c>
      <c r="K48" s="76">
        <v>100</v>
      </c>
      <c r="M48" s="78"/>
    </row>
    <row r="49" spans="1:13" s="40" customFormat="1" x14ac:dyDescent="0.2">
      <c r="A49" s="1044" t="s">
        <v>1530</v>
      </c>
      <c r="B49" s="39"/>
      <c r="C49" s="76">
        <v>350</v>
      </c>
      <c r="D49" s="76"/>
      <c r="E49" s="76">
        <v>684</v>
      </c>
      <c r="G49" s="76">
        <v>300</v>
      </c>
      <c r="I49" s="76">
        <v>350</v>
      </c>
      <c r="K49" s="76">
        <v>650</v>
      </c>
      <c r="M49" s="78"/>
    </row>
    <row r="50" spans="1:13" s="40" customFormat="1" x14ac:dyDescent="0.2">
      <c r="A50" s="1044" t="s">
        <v>1531</v>
      </c>
      <c r="B50" s="39"/>
      <c r="C50" s="76">
        <v>668</v>
      </c>
      <c r="D50" s="63"/>
      <c r="E50" s="76">
        <v>382</v>
      </c>
      <c r="G50" s="76">
        <v>650</v>
      </c>
      <c r="I50" s="76">
        <v>650</v>
      </c>
      <c r="K50" s="76">
        <v>400</v>
      </c>
      <c r="M50" s="78"/>
    </row>
    <row r="51" spans="1:13" s="40" customFormat="1" x14ac:dyDescent="0.2">
      <c r="A51" s="41" t="s">
        <v>1532</v>
      </c>
      <c r="B51" s="39"/>
      <c r="C51" s="100">
        <v>1</v>
      </c>
      <c r="D51" s="100"/>
      <c r="E51" s="100">
        <v>1</v>
      </c>
      <c r="F51" s="101"/>
      <c r="G51" s="100">
        <v>1</v>
      </c>
      <c r="H51" s="101"/>
      <c r="I51" s="100">
        <v>1</v>
      </c>
      <c r="J51" s="101"/>
      <c r="K51" s="100">
        <v>1</v>
      </c>
      <c r="M51" s="441"/>
    </row>
    <row r="52" spans="1:13" s="40" customFormat="1" x14ac:dyDescent="0.2">
      <c r="A52" s="1044" t="s">
        <v>1533</v>
      </c>
      <c r="B52" s="39"/>
      <c r="M52" s="441"/>
    </row>
    <row r="53" spans="1:13" s="40" customFormat="1" x14ac:dyDescent="0.2">
      <c r="A53" s="858" t="s">
        <v>1534</v>
      </c>
      <c r="B53" s="39"/>
      <c r="M53" s="441"/>
    </row>
    <row r="54" spans="1:13" s="40" customFormat="1" x14ac:dyDescent="0.2">
      <c r="A54" s="131" t="s">
        <v>1202</v>
      </c>
      <c r="B54" s="39"/>
      <c r="C54" s="76">
        <v>2829</v>
      </c>
      <c r="D54" s="63"/>
      <c r="E54" s="76">
        <v>2006</v>
      </c>
      <c r="F54" s="63"/>
      <c r="G54" s="76">
        <v>1500</v>
      </c>
      <c r="I54" s="76">
        <v>1500</v>
      </c>
      <c r="K54" s="76">
        <v>1500</v>
      </c>
      <c r="M54" s="78"/>
    </row>
    <row r="55" spans="1:13" s="40" customFormat="1" x14ac:dyDescent="0.2">
      <c r="A55" s="863" t="s">
        <v>1535</v>
      </c>
      <c r="B55" s="39"/>
      <c r="C55" s="76">
        <v>2073</v>
      </c>
      <c r="D55" s="76"/>
      <c r="E55" s="76">
        <v>1975</v>
      </c>
      <c r="F55" s="63"/>
      <c r="G55" s="76">
        <v>2300</v>
      </c>
      <c r="I55" s="76">
        <v>2300</v>
      </c>
      <c r="K55" s="76">
        <v>2300</v>
      </c>
      <c r="M55" s="78"/>
    </row>
    <row r="56" spans="1:13" s="40" customFormat="1" x14ac:dyDescent="0.2">
      <c r="A56" s="90" t="s">
        <v>1536</v>
      </c>
      <c r="B56" s="39"/>
      <c r="C56" s="63"/>
      <c r="D56" s="63"/>
      <c r="E56" s="63"/>
      <c r="F56" s="63"/>
      <c r="M56" s="441"/>
    </row>
    <row r="57" spans="1:13" s="40" customFormat="1" x14ac:dyDescent="0.2">
      <c r="A57" s="863" t="s">
        <v>1537</v>
      </c>
      <c r="B57" s="39"/>
      <c r="C57" s="901">
        <v>80757</v>
      </c>
      <c r="D57" s="63"/>
      <c r="E57" s="901">
        <v>74345</v>
      </c>
      <c r="F57" s="63"/>
      <c r="G57" s="76">
        <v>70000</v>
      </c>
      <c r="I57" s="76">
        <v>70000</v>
      </c>
      <c r="K57" s="76">
        <v>70000</v>
      </c>
      <c r="M57" s="956"/>
    </row>
    <row r="58" spans="1:13" s="40" customFormat="1" x14ac:dyDescent="0.2">
      <c r="A58" s="863" t="s">
        <v>1538</v>
      </c>
      <c r="B58" s="39"/>
      <c r="C58" s="901">
        <v>161514</v>
      </c>
      <c r="D58" s="63"/>
      <c r="E58" s="901">
        <v>148690</v>
      </c>
      <c r="F58" s="63"/>
      <c r="G58" s="76">
        <v>101000</v>
      </c>
      <c r="I58" s="76">
        <v>101000</v>
      </c>
      <c r="K58" s="76">
        <v>101000</v>
      </c>
      <c r="M58" s="956"/>
    </row>
    <row r="59" spans="1:13" s="40" customFormat="1" x14ac:dyDescent="0.2">
      <c r="A59" s="863" t="s">
        <v>1539</v>
      </c>
      <c r="B59" s="39"/>
      <c r="C59" s="76">
        <v>5915</v>
      </c>
      <c r="D59" s="63"/>
      <c r="E59" s="76">
        <v>5156</v>
      </c>
      <c r="F59" s="63"/>
      <c r="G59" s="76">
        <v>5000</v>
      </c>
      <c r="I59" s="76">
        <v>5000</v>
      </c>
      <c r="K59" s="76">
        <v>5000</v>
      </c>
      <c r="M59" s="78"/>
    </row>
    <row r="60" spans="1:13" s="40" customFormat="1" x14ac:dyDescent="0.2">
      <c r="A60" s="863" t="s">
        <v>1540</v>
      </c>
      <c r="B60" s="39"/>
      <c r="C60" s="901">
        <v>44938</v>
      </c>
      <c r="D60" s="63"/>
      <c r="E60" s="901">
        <v>41565</v>
      </c>
      <c r="F60" s="63"/>
      <c r="G60" s="901">
        <v>44000</v>
      </c>
      <c r="I60" s="901">
        <v>42000</v>
      </c>
      <c r="K60" s="901">
        <v>42000</v>
      </c>
      <c r="M60" s="956"/>
    </row>
    <row r="61" spans="1:13" s="37" customFormat="1" x14ac:dyDescent="0.2">
      <c r="A61" s="35" t="s">
        <v>1541</v>
      </c>
      <c r="B61" s="36"/>
      <c r="C61" s="87"/>
      <c r="D61" s="87"/>
      <c r="E61" s="87"/>
      <c r="F61" s="87"/>
    </row>
    <row r="62" spans="1:13" s="40" customFormat="1" x14ac:dyDescent="0.2">
      <c r="A62" s="1044" t="s">
        <v>1542</v>
      </c>
      <c r="B62" s="39"/>
      <c r="C62" s="63"/>
      <c r="D62" s="63"/>
      <c r="E62" s="63"/>
      <c r="F62" s="63"/>
    </row>
    <row r="63" spans="1:13" s="40" customFormat="1" x14ac:dyDescent="0.2">
      <c r="A63" s="90" t="s">
        <v>1543</v>
      </c>
      <c r="B63" s="39"/>
      <c r="C63" s="78">
        <v>3402</v>
      </c>
      <c r="D63" s="78"/>
      <c r="E63" s="78">
        <v>3416</v>
      </c>
      <c r="F63" s="63"/>
      <c r="G63" s="78">
        <v>3400</v>
      </c>
      <c r="I63" s="78">
        <v>3420</v>
      </c>
      <c r="K63" s="78">
        <v>3420</v>
      </c>
      <c r="M63" s="76"/>
    </row>
    <row r="64" spans="1:13" s="40" customFormat="1" x14ac:dyDescent="0.2">
      <c r="A64" s="90" t="s">
        <v>1544</v>
      </c>
      <c r="B64" s="39"/>
      <c r="C64" s="78">
        <v>2850</v>
      </c>
      <c r="D64" s="78"/>
      <c r="E64" s="78">
        <v>3597</v>
      </c>
      <c r="F64" s="63"/>
      <c r="G64" s="78">
        <v>3570</v>
      </c>
      <c r="I64" s="78">
        <v>3600</v>
      </c>
      <c r="K64" s="78">
        <v>3600</v>
      </c>
      <c r="M64" s="76"/>
    </row>
    <row r="65" spans="1:23" s="40" customFormat="1" x14ac:dyDescent="0.2">
      <c r="A65" s="90" t="s">
        <v>1545</v>
      </c>
      <c r="B65" s="39"/>
      <c r="C65" s="78">
        <v>1415</v>
      </c>
      <c r="D65" s="78"/>
      <c r="E65" s="78">
        <v>1234</v>
      </c>
      <c r="F65" s="63"/>
      <c r="G65" s="78">
        <v>1000</v>
      </c>
      <c r="I65" s="78">
        <v>1054</v>
      </c>
      <c r="K65" s="78">
        <v>874</v>
      </c>
      <c r="M65" s="333"/>
    </row>
    <row r="66" spans="1:23" s="40" customFormat="1" x14ac:dyDescent="0.2">
      <c r="A66" s="90" t="s">
        <v>1546</v>
      </c>
      <c r="B66" s="39"/>
      <c r="C66" s="1046">
        <v>0.76</v>
      </c>
      <c r="D66" s="1046"/>
      <c r="E66" s="1047">
        <v>0.80800000000000005</v>
      </c>
      <c r="F66" s="100"/>
      <c r="G66" s="1047">
        <v>0.75</v>
      </c>
      <c r="H66" s="101"/>
      <c r="I66" s="1047">
        <v>0.82</v>
      </c>
      <c r="J66" s="101"/>
      <c r="K66" s="1047">
        <v>0.82</v>
      </c>
      <c r="M66" s="1048"/>
    </row>
    <row r="67" spans="1:23" s="40" customFormat="1" x14ac:dyDescent="0.2">
      <c r="A67" s="1044" t="s">
        <v>1547</v>
      </c>
      <c r="B67" s="39"/>
      <c r="C67" s="78">
        <v>1366</v>
      </c>
      <c r="D67" s="78"/>
      <c r="E67" s="78">
        <v>1268</v>
      </c>
      <c r="F67" s="63"/>
      <c r="G67" s="78">
        <v>1150</v>
      </c>
      <c r="I67" s="78">
        <v>1300</v>
      </c>
      <c r="K67" s="78">
        <v>1300</v>
      </c>
      <c r="M67" s="76"/>
    </row>
    <row r="68" spans="1:23" s="40" customFormat="1" x14ac:dyDescent="0.2">
      <c r="A68" s="90"/>
      <c r="B68" s="39"/>
      <c r="C68" s="77"/>
      <c r="D68" s="77"/>
      <c r="E68" s="77"/>
      <c r="F68" s="77"/>
      <c r="M68" s="78"/>
    </row>
    <row r="69" spans="1:23" s="37" customFormat="1" x14ac:dyDescent="0.2">
      <c r="A69" s="35" t="s">
        <v>194</v>
      </c>
      <c r="B69" s="36"/>
      <c r="C69" s="77"/>
      <c r="D69" s="77"/>
      <c r="E69" s="77"/>
      <c r="M69" s="416"/>
    </row>
    <row r="70" spans="1:23" s="40" customFormat="1" x14ac:dyDescent="0.2">
      <c r="A70" s="1049" t="s">
        <v>254</v>
      </c>
      <c r="B70" s="39"/>
      <c r="M70" s="78"/>
    </row>
    <row r="71" spans="1:23" s="40" customFormat="1" x14ac:dyDescent="0.2">
      <c r="A71" s="1044" t="s">
        <v>332</v>
      </c>
      <c r="B71" s="39"/>
      <c r="C71" s="159">
        <v>35</v>
      </c>
      <c r="D71" s="159"/>
      <c r="E71" s="159">
        <v>34</v>
      </c>
      <c r="G71" s="159"/>
      <c r="I71" s="159">
        <v>33</v>
      </c>
      <c r="K71" s="159"/>
      <c r="M71" s="78"/>
    </row>
    <row r="72" spans="1:23" s="40" customFormat="1" x14ac:dyDescent="0.2">
      <c r="A72" s="1044" t="s">
        <v>256</v>
      </c>
      <c r="B72" s="39"/>
      <c r="C72" s="1046">
        <v>0.14499999999999999</v>
      </c>
      <c r="D72" s="1046"/>
      <c r="E72" s="1046">
        <v>0.14592274678111589</v>
      </c>
      <c r="G72" s="1046"/>
      <c r="I72" s="1046">
        <v>0.14799999999999999</v>
      </c>
      <c r="K72" s="1046"/>
      <c r="M72" s="441"/>
    </row>
    <row r="73" spans="1:23" s="40" customFormat="1" x14ac:dyDescent="0.2">
      <c r="A73" s="1044" t="s">
        <v>257</v>
      </c>
      <c r="B73" s="39"/>
      <c r="C73" s="159">
        <v>64</v>
      </c>
      <c r="D73" s="159"/>
      <c r="E73" s="159">
        <v>66</v>
      </c>
      <c r="G73" s="159"/>
      <c r="I73" s="159">
        <v>63</v>
      </c>
      <c r="K73" s="159"/>
      <c r="M73" s="78"/>
      <c r="U73" s="1050"/>
    </row>
    <row r="74" spans="1:23" s="40" customFormat="1" x14ac:dyDescent="0.2">
      <c r="A74" s="1044" t="s">
        <v>258</v>
      </c>
      <c r="B74" s="39"/>
      <c r="C74" s="1046">
        <v>0.26400000000000001</v>
      </c>
      <c r="D74" s="1046"/>
      <c r="E74" s="1046">
        <v>0.2832618025751073</v>
      </c>
      <c r="G74" s="1046"/>
      <c r="I74" s="1046">
        <v>0.28125</v>
      </c>
      <c r="K74" s="1046"/>
      <c r="M74" s="441"/>
    </row>
    <row r="75" spans="1:23" s="40" customFormat="1" x14ac:dyDescent="0.2">
      <c r="A75" s="1044" t="s">
        <v>259</v>
      </c>
      <c r="B75" s="39"/>
      <c r="C75" s="1051">
        <v>99</v>
      </c>
      <c r="D75" s="1051"/>
      <c r="E75" s="1051">
        <v>100</v>
      </c>
      <c r="G75" s="1051"/>
      <c r="I75" s="1051">
        <v>96</v>
      </c>
      <c r="K75" s="1051"/>
      <c r="M75" s="78"/>
    </row>
    <row r="76" spans="1:23" s="40" customFormat="1" x14ac:dyDescent="0.2">
      <c r="A76" s="1044" t="s">
        <v>260</v>
      </c>
      <c r="B76" s="39"/>
      <c r="C76" s="1052">
        <v>0.40899999999999997</v>
      </c>
      <c r="D76" s="1052"/>
      <c r="E76" s="1052">
        <v>0.42918454935622319</v>
      </c>
      <c r="G76" s="1052"/>
      <c r="I76" s="1052">
        <v>0.42857142857142855</v>
      </c>
      <c r="K76" s="1052"/>
      <c r="M76" s="441"/>
    </row>
    <row r="77" spans="1:23" s="37" customFormat="1" x14ac:dyDescent="0.2">
      <c r="A77" s="35" t="s">
        <v>211</v>
      </c>
      <c r="B77" s="36"/>
      <c r="C77" s="1047"/>
      <c r="D77" s="159"/>
      <c r="E77" s="1047"/>
      <c r="G77" s="215"/>
      <c r="I77" s="215"/>
      <c r="K77" s="215"/>
      <c r="M77" s="215"/>
    </row>
    <row r="78" spans="1:23" s="37" customFormat="1" x14ac:dyDescent="0.2">
      <c r="A78" s="35" t="s">
        <v>195</v>
      </c>
      <c r="B78" s="36"/>
      <c r="C78" s="1053"/>
      <c r="E78" s="1053"/>
      <c r="G78" s="108"/>
      <c r="I78" s="108"/>
      <c r="K78" s="108"/>
      <c r="M78" s="108"/>
    </row>
    <row r="79" spans="1:23" s="40" customFormat="1" x14ac:dyDescent="0.2">
      <c r="A79" s="1049" t="s">
        <v>196</v>
      </c>
      <c r="B79" s="39"/>
      <c r="C79" s="1054"/>
      <c r="E79" s="1054"/>
      <c r="G79" s="64"/>
      <c r="I79" s="64"/>
      <c r="K79" s="64"/>
      <c r="M79" s="64"/>
    </row>
    <row r="80" spans="1:23" s="40" customFormat="1" x14ac:dyDescent="0.2">
      <c r="A80" s="1044" t="s">
        <v>197</v>
      </c>
      <c r="B80" s="39"/>
      <c r="C80" s="77">
        <v>242</v>
      </c>
      <c r="E80" s="77">
        <v>233</v>
      </c>
      <c r="G80" s="77">
        <v>235</v>
      </c>
      <c r="I80" s="77">
        <v>224</v>
      </c>
      <c r="K80" s="77">
        <v>229</v>
      </c>
      <c r="M80" s="76"/>
      <c r="W80" s="1046"/>
    </row>
    <row r="81" spans="1:23" s="40" customFormat="1" x14ac:dyDescent="0.2">
      <c r="A81" s="1044" t="s">
        <v>198</v>
      </c>
      <c r="B81" s="39"/>
      <c r="C81" s="77">
        <f>SUM(C80)</f>
        <v>242</v>
      </c>
      <c r="E81" s="77">
        <f>SUM(E80)</f>
        <v>233</v>
      </c>
      <c r="G81" s="77">
        <v>235</v>
      </c>
      <c r="I81" s="77">
        <f>SUM(I80)</f>
        <v>224</v>
      </c>
      <c r="K81" s="77">
        <f>SUM(K80)</f>
        <v>229</v>
      </c>
      <c r="M81" s="76"/>
      <c r="W81" s="1046"/>
    </row>
    <row r="82" spans="1:23" s="40" customFormat="1" x14ac:dyDescent="0.2">
      <c r="A82" s="1049" t="s">
        <v>199</v>
      </c>
      <c r="B82" s="39"/>
      <c r="M82" s="64"/>
      <c r="W82" s="1046"/>
    </row>
    <row r="83" spans="1:23" s="40" customFormat="1" x14ac:dyDescent="0.2">
      <c r="A83" s="1044" t="s">
        <v>1497</v>
      </c>
      <c r="B83" s="39"/>
      <c r="C83" s="77">
        <v>220</v>
      </c>
      <c r="E83" s="77">
        <v>212</v>
      </c>
      <c r="G83" s="77">
        <v>214</v>
      </c>
      <c r="I83" s="77">
        <v>202</v>
      </c>
      <c r="K83" s="77">
        <v>206</v>
      </c>
      <c r="M83" s="76"/>
    </row>
    <row r="84" spans="1:23" s="40" customFormat="1" x14ac:dyDescent="0.2">
      <c r="A84" s="41" t="s">
        <v>1541</v>
      </c>
      <c r="B84" s="39"/>
      <c r="C84" s="77">
        <v>22</v>
      </c>
      <c r="E84" s="77">
        <v>21</v>
      </c>
      <c r="G84" s="77">
        <v>21</v>
      </c>
      <c r="I84" s="77">
        <v>22</v>
      </c>
      <c r="K84" s="77">
        <v>23</v>
      </c>
      <c r="M84" s="76"/>
    </row>
    <row r="85" spans="1:23" s="40" customFormat="1" x14ac:dyDescent="0.2">
      <c r="A85" s="41" t="s">
        <v>975</v>
      </c>
      <c r="B85" s="39"/>
      <c r="C85" s="77">
        <f>SUM(C83:C84)</f>
        <v>242</v>
      </c>
      <c r="E85" s="77">
        <f>SUM(E83:E84)</f>
        <v>233</v>
      </c>
      <c r="G85" s="77">
        <v>235</v>
      </c>
      <c r="I85" s="77">
        <f>SUM(I83:I84)</f>
        <v>224</v>
      </c>
      <c r="K85" s="77">
        <f>SUM(K83:K84)</f>
        <v>229</v>
      </c>
      <c r="M85" s="76"/>
    </row>
    <row r="86" spans="1:23" s="37" customFormat="1" x14ac:dyDescent="0.2">
      <c r="A86" s="35"/>
      <c r="B86" s="36"/>
    </row>
    <row r="87" spans="1:23" s="48" customFormat="1" x14ac:dyDescent="0.2">
      <c r="A87" s="46"/>
      <c r="B87" s="47"/>
      <c r="O87" s="280"/>
    </row>
    <row r="88" spans="1:23" s="48" customFormat="1" x14ac:dyDescent="0.2">
      <c r="A88" s="49" t="s">
        <v>200</v>
      </c>
      <c r="B88" s="50"/>
      <c r="C88" s="51"/>
      <c r="D88" s="52"/>
      <c r="E88" s="53"/>
      <c r="F88" s="52"/>
      <c r="G88" s="53"/>
      <c r="H88" s="52"/>
      <c r="I88" s="53"/>
      <c r="J88" s="52"/>
      <c r="K88" s="53"/>
      <c r="L88" s="52"/>
      <c r="M88" s="51"/>
      <c r="N88" s="52"/>
    </row>
    <row r="89" spans="1:23" ht="31.7" customHeight="1" x14ac:dyDescent="0.2">
      <c r="A89" s="1758" t="s">
        <v>1548</v>
      </c>
      <c r="B89" s="1758"/>
      <c r="C89" s="1758"/>
      <c r="D89" s="1758"/>
      <c r="E89" s="1758"/>
      <c r="F89" s="1758"/>
      <c r="G89" s="1758"/>
      <c r="H89" s="1758"/>
      <c r="I89" s="1758"/>
      <c r="J89" s="1758"/>
      <c r="K89" s="1758"/>
      <c r="L89" s="1758"/>
      <c r="M89" s="1758"/>
      <c r="N89" s="1758"/>
      <c r="O89" s="54"/>
      <c r="P89" s="54"/>
      <c r="Q89" s="951"/>
    </row>
    <row r="90" spans="1:23" ht="27.95" customHeight="1" x14ac:dyDescent="0.2">
      <c r="A90" s="1758"/>
      <c r="B90" s="1758"/>
      <c r="C90" s="1758"/>
      <c r="D90" s="1758"/>
      <c r="E90" s="1758"/>
      <c r="F90" s="1758"/>
      <c r="G90" s="1758"/>
      <c r="H90" s="1758"/>
      <c r="I90" s="1758"/>
      <c r="J90" s="1758"/>
      <c r="K90" s="1758"/>
      <c r="L90" s="1758"/>
      <c r="M90" s="1758"/>
      <c r="N90" s="1758"/>
      <c r="O90" s="54"/>
      <c r="P90" s="54"/>
    </row>
    <row r="91" spans="1:23" ht="27.95" customHeight="1" x14ac:dyDescent="0.2">
      <c r="A91" s="1758"/>
      <c r="B91" s="1758"/>
      <c r="C91" s="1758"/>
      <c r="D91" s="1758"/>
      <c r="E91" s="1758"/>
      <c r="F91" s="1758"/>
      <c r="G91" s="1758"/>
      <c r="H91" s="1758"/>
      <c r="I91" s="1758"/>
      <c r="J91" s="1758"/>
      <c r="K91" s="1758"/>
      <c r="L91" s="1758"/>
      <c r="M91" s="1758"/>
      <c r="N91" s="1758"/>
      <c r="O91" s="54"/>
      <c r="P91" s="54"/>
    </row>
    <row r="92" spans="1:23" ht="27.95" customHeight="1" x14ac:dyDescent="0.2">
      <c r="A92" s="1758"/>
      <c r="B92" s="1758"/>
      <c r="C92" s="1758"/>
      <c r="D92" s="1758"/>
      <c r="E92" s="1758"/>
      <c r="F92" s="1758"/>
      <c r="G92" s="1758"/>
      <c r="H92" s="1758"/>
      <c r="I92" s="1758"/>
      <c r="J92" s="1758"/>
      <c r="K92" s="1758"/>
      <c r="L92" s="1758"/>
      <c r="M92" s="1758"/>
      <c r="N92" s="1758"/>
      <c r="O92" s="54"/>
      <c r="P92" s="54"/>
    </row>
    <row r="93" spans="1:23" ht="27.95" customHeight="1" x14ac:dyDescent="0.2">
      <c r="A93" s="1758"/>
      <c r="B93" s="1758"/>
      <c r="C93" s="1758"/>
      <c r="D93" s="1758"/>
      <c r="E93" s="1758"/>
      <c r="F93" s="1758"/>
      <c r="G93" s="1758"/>
      <c r="H93" s="1758"/>
      <c r="I93" s="1758"/>
      <c r="J93" s="1758"/>
      <c r="K93" s="1758"/>
      <c r="L93" s="1758"/>
      <c r="M93" s="1758"/>
      <c r="N93" s="1758"/>
      <c r="O93" s="54"/>
      <c r="P93" s="54"/>
    </row>
    <row r="94" spans="1:23" ht="27.95" customHeight="1" x14ac:dyDescent="0.2">
      <c r="A94" s="1735"/>
      <c r="B94" s="1735"/>
      <c r="C94" s="1735"/>
      <c r="D94" s="1735"/>
      <c r="E94" s="1735"/>
      <c r="F94" s="1735"/>
      <c r="G94" s="1735"/>
      <c r="H94" s="1735"/>
      <c r="I94" s="1735"/>
      <c r="J94" s="1735"/>
      <c r="K94" s="1735"/>
      <c r="L94" s="1735"/>
      <c r="M94" s="1735"/>
      <c r="N94" s="1735"/>
      <c r="O94" s="54"/>
      <c r="P94" s="54"/>
    </row>
    <row r="95" spans="1:23" ht="27.95" customHeight="1" x14ac:dyDescent="0.2">
      <c r="A95" s="1735"/>
      <c r="B95" s="1735"/>
      <c r="C95" s="1735"/>
      <c r="D95" s="1735"/>
      <c r="E95" s="1735"/>
      <c r="F95" s="1735"/>
      <c r="G95" s="1735"/>
      <c r="H95" s="1735"/>
      <c r="I95" s="1735"/>
      <c r="J95" s="1735"/>
      <c r="K95" s="1735"/>
      <c r="L95" s="1735"/>
      <c r="M95" s="1735"/>
      <c r="N95" s="1735"/>
      <c r="O95" s="54"/>
      <c r="P95" s="54"/>
    </row>
    <row r="96" spans="1:23" ht="27.95" customHeight="1" x14ac:dyDescent="0.2">
      <c r="A96" s="1735"/>
      <c r="B96" s="1735"/>
      <c r="C96" s="1735"/>
      <c r="D96" s="1735"/>
      <c r="E96" s="1735"/>
      <c r="F96" s="1735"/>
      <c r="G96" s="1735"/>
      <c r="H96" s="1735"/>
      <c r="I96" s="1735"/>
      <c r="J96" s="1735"/>
      <c r="K96" s="1735"/>
      <c r="L96" s="1735"/>
      <c r="M96" s="1735"/>
      <c r="N96" s="1735"/>
      <c r="O96" s="54"/>
      <c r="P96" s="54"/>
    </row>
    <row r="97" spans="1:17" ht="27.95" customHeight="1" x14ac:dyDescent="0.2">
      <c r="A97" s="1735"/>
      <c r="B97" s="1735"/>
      <c r="C97" s="1735"/>
      <c r="D97" s="1735"/>
      <c r="E97" s="1735"/>
      <c r="F97" s="1735"/>
      <c r="G97" s="1735"/>
      <c r="H97" s="1735"/>
      <c r="I97" s="1735"/>
      <c r="J97" s="1735"/>
      <c r="K97" s="1735"/>
      <c r="L97" s="1735"/>
      <c r="M97" s="1735"/>
      <c r="N97" s="1735"/>
      <c r="O97" s="54"/>
      <c r="P97" s="54"/>
    </row>
    <row r="98" spans="1:17" ht="27.95" customHeight="1" x14ac:dyDescent="0.2">
      <c r="A98" s="1735"/>
      <c r="B98" s="1735"/>
      <c r="C98" s="1735"/>
      <c r="D98" s="1735"/>
      <c r="E98" s="1735"/>
      <c r="F98" s="1735"/>
      <c r="G98" s="1735"/>
      <c r="H98" s="1735"/>
      <c r="I98" s="1735"/>
      <c r="J98" s="1735"/>
      <c r="K98" s="1735"/>
      <c r="L98" s="1735"/>
      <c r="M98" s="1735"/>
      <c r="N98" s="1735"/>
      <c r="O98" s="54"/>
      <c r="P98" s="54"/>
    </row>
    <row r="99" spans="1:17" x14ac:dyDescent="0.2">
      <c r="A99" s="55"/>
      <c r="B99" s="54"/>
      <c r="C99" s="56"/>
      <c r="D99" s="54"/>
      <c r="E99" s="56"/>
      <c r="F99" s="54"/>
      <c r="G99" s="56"/>
      <c r="H99" s="54"/>
      <c r="I99" s="56"/>
      <c r="J99" s="54"/>
      <c r="K99" s="56"/>
      <c r="L99" s="54"/>
      <c r="M99" s="56"/>
      <c r="N99" s="54"/>
      <c r="O99" s="54"/>
      <c r="P99" s="54"/>
    </row>
    <row r="100" spans="1:17" x14ac:dyDescent="0.2">
      <c r="A100" s="55"/>
      <c r="B100" s="54"/>
      <c r="C100" s="107"/>
      <c r="D100" s="54"/>
      <c r="E100" s="107"/>
      <c r="F100" s="54"/>
      <c r="G100" s="107"/>
      <c r="H100" s="54"/>
      <c r="I100" s="107"/>
      <c r="J100" s="54"/>
      <c r="K100" s="107"/>
      <c r="L100" s="54"/>
      <c r="M100" s="107"/>
      <c r="N100" s="54"/>
      <c r="O100" s="54"/>
      <c r="P100" s="54"/>
    </row>
    <row r="101" spans="1:17" x14ac:dyDescent="0.2">
      <c r="A101" s="55"/>
      <c r="B101" s="54"/>
      <c r="C101" s="56"/>
      <c r="D101" s="54"/>
      <c r="E101" s="56"/>
      <c r="F101" s="54"/>
      <c r="G101" s="56"/>
      <c r="H101" s="54"/>
      <c r="I101" s="56"/>
      <c r="J101" s="54"/>
      <c r="K101" s="56"/>
      <c r="L101" s="54"/>
      <c r="M101" s="56"/>
      <c r="N101" s="54"/>
      <c r="O101" s="54"/>
      <c r="P101" s="54"/>
    </row>
    <row r="102" spans="1:17" x14ac:dyDescent="0.2">
      <c r="A102" s="55"/>
      <c r="B102" s="54"/>
      <c r="C102" s="107"/>
      <c r="D102" s="54"/>
      <c r="E102" s="107"/>
      <c r="F102" s="54"/>
      <c r="G102" s="107"/>
      <c r="H102" s="54"/>
      <c r="I102" s="107"/>
      <c r="J102" s="54"/>
      <c r="K102" s="107"/>
      <c r="L102" s="54"/>
      <c r="M102" s="107"/>
      <c r="N102" s="54"/>
      <c r="O102" s="54"/>
      <c r="P102" s="54"/>
    </row>
    <row r="103" spans="1:17" x14ac:dyDescent="0.2">
      <c r="A103" s="55"/>
      <c r="B103" s="54"/>
      <c r="C103" s="56"/>
      <c r="D103" s="54"/>
      <c r="E103" s="56"/>
      <c r="F103" s="54"/>
      <c r="G103" s="56"/>
      <c r="H103" s="54"/>
      <c r="I103" s="56"/>
      <c r="J103" s="54"/>
      <c r="K103" s="56"/>
      <c r="L103" s="54"/>
      <c r="M103" s="56"/>
      <c r="N103" s="54"/>
      <c r="O103" s="54"/>
      <c r="P103" s="54"/>
    </row>
    <row r="104" spans="1:17" x14ac:dyDescent="0.2">
      <c r="A104" s="55"/>
      <c r="B104" s="54"/>
      <c r="C104" s="54"/>
      <c r="D104" s="54"/>
      <c r="E104" s="54"/>
      <c r="F104" s="54"/>
      <c r="G104" s="54"/>
      <c r="H104" s="54"/>
      <c r="I104" s="54"/>
      <c r="J104" s="54"/>
      <c r="K104" s="54"/>
      <c r="L104" s="54"/>
      <c r="M104" s="54"/>
      <c r="N104" s="54"/>
      <c r="O104" s="54"/>
      <c r="P104" s="54"/>
    </row>
    <row r="105" spans="1:17" x14ac:dyDescent="0.2">
      <c r="A105" s="55"/>
      <c r="B105" s="54"/>
      <c r="C105" s="54"/>
      <c r="D105" s="54"/>
      <c r="E105" s="54"/>
      <c r="F105" s="54"/>
      <c r="G105" s="54"/>
      <c r="H105" s="54"/>
      <c r="I105" s="54"/>
      <c r="J105" s="54"/>
      <c r="K105" s="54"/>
      <c r="L105" s="54"/>
      <c r="M105" s="54"/>
      <c r="N105" s="54"/>
      <c r="O105" s="54"/>
      <c r="P105" s="54"/>
    </row>
    <row r="106" spans="1:17" x14ac:dyDescent="0.2">
      <c r="A106" s="55"/>
      <c r="B106" s="54"/>
      <c r="C106" s="54"/>
      <c r="D106" s="54"/>
      <c r="E106" s="54"/>
      <c r="F106" s="54"/>
      <c r="G106" s="54"/>
      <c r="H106" s="54"/>
      <c r="I106" s="54"/>
      <c r="J106" s="54"/>
      <c r="K106" s="54"/>
      <c r="L106" s="54"/>
      <c r="M106" s="54"/>
      <c r="N106" s="54"/>
      <c r="O106" s="54"/>
      <c r="P106" s="54"/>
      <c r="Q106" s="57"/>
    </row>
    <row r="107" spans="1:17" x14ac:dyDescent="0.2">
      <c r="B107" s="25"/>
      <c r="C107" s="25"/>
      <c r="D107" s="25"/>
      <c r="E107" s="58"/>
      <c r="F107" s="58"/>
      <c r="G107" s="58"/>
      <c r="H107" s="58"/>
    </row>
    <row r="108" spans="1:17" x14ac:dyDescent="0.2">
      <c r="B108" s="25"/>
      <c r="C108" s="25"/>
      <c r="D108" s="25"/>
      <c r="E108" s="58"/>
      <c r="F108" s="58"/>
      <c r="G108" s="58"/>
      <c r="H108" s="58"/>
    </row>
    <row r="109" spans="1:17" x14ac:dyDescent="0.2">
      <c r="B109" s="25"/>
      <c r="C109" s="25"/>
      <c r="D109" s="25"/>
      <c r="E109" s="58"/>
      <c r="F109" s="58"/>
      <c r="G109" s="58"/>
      <c r="H109" s="58"/>
    </row>
    <row r="110" spans="1:17" x14ac:dyDescent="0.2">
      <c r="B110" s="25"/>
      <c r="C110" s="25"/>
      <c r="D110" s="25"/>
      <c r="E110" s="58"/>
      <c r="F110" s="58"/>
      <c r="G110" s="58"/>
      <c r="H110" s="58"/>
    </row>
    <row r="111" spans="1:17" x14ac:dyDescent="0.2">
      <c r="B111" s="25"/>
      <c r="C111" s="25"/>
      <c r="D111" s="25"/>
      <c r="E111" s="58"/>
      <c r="F111" s="58"/>
      <c r="G111" s="58"/>
      <c r="H111" s="58"/>
    </row>
    <row r="112" spans="1:17"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c r="C118" s="25"/>
      <c r="D118" s="25"/>
      <c r="E118" s="58"/>
      <c r="F118" s="58"/>
      <c r="G118" s="58"/>
      <c r="H118" s="58"/>
    </row>
    <row r="119" spans="2:8" x14ac:dyDescent="0.2">
      <c r="B119" s="25"/>
      <c r="C119" s="25"/>
      <c r="D119" s="25"/>
      <c r="E119" s="58"/>
      <c r="F119" s="58"/>
      <c r="G119" s="58"/>
      <c r="H119" s="58"/>
    </row>
    <row r="120" spans="2:8" x14ac:dyDescent="0.2">
      <c r="B120" s="25"/>
      <c r="C120" s="25"/>
      <c r="D120" s="25"/>
      <c r="E120" s="58"/>
      <c r="F120" s="58"/>
      <c r="G120" s="58"/>
      <c r="H120" s="58"/>
    </row>
    <row r="121" spans="2:8" x14ac:dyDescent="0.2">
      <c r="B121" s="25"/>
      <c r="C121" s="25"/>
      <c r="D121" s="25"/>
      <c r="E121" s="58"/>
      <c r="F121" s="58"/>
      <c r="G121" s="58"/>
      <c r="H121" s="58"/>
    </row>
    <row r="122" spans="2:8" x14ac:dyDescent="0.2">
      <c r="B122" s="25"/>
      <c r="C122" s="25"/>
      <c r="D122" s="25"/>
      <c r="E122" s="58"/>
      <c r="F122" s="58"/>
      <c r="G122" s="58"/>
      <c r="H122" s="58"/>
    </row>
    <row r="123" spans="2:8" x14ac:dyDescent="0.2">
      <c r="B123" s="25"/>
      <c r="C123" s="25"/>
      <c r="D123" s="25"/>
      <c r="E123" s="58"/>
      <c r="F123" s="58"/>
      <c r="G123" s="58"/>
      <c r="H123" s="58"/>
    </row>
    <row r="124" spans="2:8" x14ac:dyDescent="0.2">
      <c r="B124" s="25"/>
      <c r="C124" s="25"/>
      <c r="D124" s="25"/>
      <c r="E124" s="58"/>
      <c r="F124" s="58"/>
      <c r="G124" s="58"/>
      <c r="H124" s="58"/>
    </row>
    <row r="125" spans="2:8" x14ac:dyDescent="0.2">
      <c r="B125" s="25"/>
      <c r="C125" s="25"/>
      <c r="D125" s="25"/>
      <c r="E125" s="58"/>
      <c r="F125" s="58"/>
      <c r="G125" s="58"/>
      <c r="H125" s="58"/>
    </row>
    <row r="126" spans="2:8" x14ac:dyDescent="0.2">
      <c r="B126" s="25"/>
      <c r="C126" s="25"/>
      <c r="D126" s="25"/>
      <c r="E126" s="58"/>
      <c r="F126" s="58"/>
      <c r="G126" s="58"/>
      <c r="H126" s="58"/>
    </row>
    <row r="127" spans="2:8" x14ac:dyDescent="0.2">
      <c r="B127" s="25"/>
      <c r="C127" s="25"/>
      <c r="D127" s="25"/>
      <c r="E127" s="58"/>
      <c r="F127" s="58"/>
      <c r="G127" s="58"/>
      <c r="H127" s="58"/>
    </row>
    <row r="128" spans="2:8" x14ac:dyDescent="0.2">
      <c r="B128" s="25"/>
      <c r="C128" s="25"/>
      <c r="D128" s="25"/>
      <c r="E128" s="58"/>
      <c r="F128" s="58"/>
      <c r="G128" s="58"/>
      <c r="H128" s="58"/>
    </row>
    <row r="129" spans="2:8" x14ac:dyDescent="0.2">
      <c r="B129" s="25"/>
      <c r="C129" s="25"/>
      <c r="D129" s="25"/>
      <c r="E129" s="58"/>
      <c r="F129" s="58"/>
      <c r="G129" s="58"/>
      <c r="H129" s="58"/>
    </row>
    <row r="130" spans="2:8" x14ac:dyDescent="0.2">
      <c r="B130" s="25"/>
      <c r="C130" s="25"/>
      <c r="D130" s="25"/>
      <c r="E130" s="58"/>
      <c r="F130" s="58"/>
      <c r="G130" s="58"/>
      <c r="H130" s="58"/>
    </row>
    <row r="131" spans="2:8" x14ac:dyDescent="0.2">
      <c r="B131" s="25"/>
      <c r="C131" s="25"/>
      <c r="D131" s="25"/>
      <c r="E131" s="58"/>
      <c r="F131" s="58"/>
      <c r="G131" s="58"/>
      <c r="H131" s="58"/>
    </row>
    <row r="132" spans="2:8" x14ac:dyDescent="0.2">
      <c r="B132" s="25"/>
      <c r="C132" s="25"/>
      <c r="D132" s="25"/>
      <c r="E132" s="58"/>
      <c r="F132" s="58"/>
      <c r="G132" s="58"/>
      <c r="H132" s="58"/>
    </row>
    <row r="133" spans="2:8" x14ac:dyDescent="0.2">
      <c r="B133" s="25"/>
      <c r="C133" s="25"/>
      <c r="D133" s="25"/>
      <c r="E133" s="58"/>
      <c r="F133" s="58"/>
      <c r="G133" s="58"/>
      <c r="H133" s="58"/>
    </row>
    <row r="134" spans="2:8" x14ac:dyDescent="0.2">
      <c r="B134" s="25"/>
      <c r="C134" s="25"/>
      <c r="D134" s="25"/>
      <c r="E134" s="58"/>
      <c r="F134" s="58"/>
      <c r="G134" s="58"/>
      <c r="H134" s="58"/>
    </row>
    <row r="135" spans="2:8" x14ac:dyDescent="0.2">
      <c r="B135" s="25"/>
      <c r="C135" s="25"/>
      <c r="D135" s="25"/>
      <c r="E135" s="58"/>
      <c r="F135" s="58"/>
      <c r="G135" s="58"/>
      <c r="H135" s="58"/>
    </row>
    <row r="136" spans="2:8" x14ac:dyDescent="0.2">
      <c r="B136" s="25"/>
    </row>
    <row r="137" spans="2:8" x14ac:dyDescent="0.2">
      <c r="B137" s="25"/>
    </row>
    <row r="138" spans="2:8" x14ac:dyDescent="0.2">
      <c r="B138" s="25"/>
    </row>
    <row r="139" spans="2:8" x14ac:dyDescent="0.2">
      <c r="B139" s="25"/>
    </row>
    <row r="140" spans="2:8" x14ac:dyDescent="0.2">
      <c r="B140" s="25"/>
    </row>
    <row r="141" spans="2:8" x14ac:dyDescent="0.2">
      <c r="B141" s="25"/>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sheetData>
  <mergeCells count="11">
    <mergeCell ref="A95:N95"/>
    <mergeCell ref="A96:N96"/>
    <mergeCell ref="A97:N97"/>
    <mergeCell ref="A98:N98"/>
    <mergeCell ref="K2:K3"/>
    <mergeCell ref="A89:N89"/>
    <mergeCell ref="A90:N90"/>
    <mergeCell ref="A91:N91"/>
    <mergeCell ref="A92:N92"/>
    <mergeCell ref="A93:N93"/>
    <mergeCell ref="A94:N94"/>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72" fitToHeight="99" pageOrder="overThenDown" orientation="portrait" blackAndWhite="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0">
    <pageSetUpPr fitToPage="1"/>
  </sheetPr>
  <dimension ref="A1:U149"/>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3.5703125" style="25" customWidth="1"/>
    <col min="2" max="2" width="6.42578125" style="26" bestFit="1" customWidth="1"/>
    <col min="3" max="3" width="11" style="61" customWidth="1"/>
    <col min="4" max="4" width="3" style="61" customWidth="1"/>
    <col min="5" max="5" width="11.140625" style="59" customWidth="1"/>
    <col min="6" max="6" width="2.85546875" style="60" customWidth="1"/>
    <col min="7" max="7" width="13.7109375" style="59" hidden="1" customWidth="1"/>
    <col min="8" max="8" width="3.140625" style="60" hidden="1" customWidth="1"/>
    <col min="9" max="9" width="10.42578125" style="59" customWidth="1"/>
    <col min="10" max="10" width="2.85546875" style="60" customWidth="1"/>
    <col min="11" max="11" width="11.7109375" style="59" bestFit="1" customWidth="1"/>
    <col min="12" max="12" width="2.85546875" style="60" customWidth="1"/>
    <col min="13" max="13" width="10.42578125" style="59" hidden="1" customWidth="1"/>
    <col min="14" max="14" width="2.85546875" style="60" hidden="1" customWidth="1"/>
    <col min="15" max="16384" width="9.140625" style="29"/>
  </cols>
  <sheetData>
    <row r="1" spans="1:14" s="4" customFormat="1" ht="15.75" x14ac:dyDescent="0.2">
      <c r="A1" s="1" t="s">
        <v>174</v>
      </c>
      <c r="B1" s="2">
        <v>2019</v>
      </c>
      <c r="C1" s="3"/>
      <c r="E1" s="3"/>
      <c r="G1" s="5"/>
      <c r="I1" s="5"/>
      <c r="J1" s="6"/>
      <c r="K1" s="5"/>
      <c r="L1" s="6"/>
      <c r="M1" s="5"/>
      <c r="N1" s="6"/>
    </row>
    <row r="2" spans="1:14" s="4" customFormat="1" ht="15.75" x14ac:dyDescent="0.25">
      <c r="A2" s="1" t="s">
        <v>175</v>
      </c>
      <c r="B2" s="7" t="s">
        <v>176</v>
      </c>
      <c r="C2" s="7" t="s">
        <v>0</v>
      </c>
      <c r="D2" s="6"/>
      <c r="E2" s="8"/>
      <c r="F2" s="9"/>
      <c r="G2" s="8"/>
      <c r="H2" s="6"/>
      <c r="I2" s="8"/>
      <c r="J2" s="6"/>
      <c r="K2" s="1733" t="s">
        <v>171</v>
      </c>
      <c r="L2" s="6"/>
      <c r="M2" s="8"/>
      <c r="N2" s="6"/>
    </row>
    <row r="3" spans="1:14" s="4" customFormat="1" ht="15.75" x14ac:dyDescent="0.25">
      <c r="A3" s="1" t="s">
        <v>177</v>
      </c>
      <c r="B3" s="10" t="s">
        <v>1549</v>
      </c>
      <c r="C3" s="10" t="s">
        <v>1550</v>
      </c>
      <c r="D3" s="6"/>
      <c r="E3" s="11"/>
      <c r="F3" s="9"/>
      <c r="G3" s="11"/>
      <c r="H3" s="6"/>
      <c r="I3" s="11"/>
      <c r="J3" s="6"/>
      <c r="K3" s="1734"/>
      <c r="L3" s="6"/>
      <c r="M3" s="11"/>
      <c r="N3" s="6"/>
    </row>
    <row r="4" spans="1:14" s="4" customFormat="1" ht="15.75" x14ac:dyDescent="0.25">
      <c r="A4" s="1" t="s">
        <v>180</v>
      </c>
      <c r="B4" s="10" t="s">
        <v>1551</v>
      </c>
      <c r="C4" s="10" t="s">
        <v>37</v>
      </c>
      <c r="D4" s="6"/>
      <c r="E4" s="11"/>
      <c r="F4" s="9"/>
      <c r="G4" s="11"/>
      <c r="H4" s="6"/>
      <c r="I4" s="11"/>
      <c r="J4" s="6"/>
      <c r="K4" s="11"/>
      <c r="L4" s="6"/>
      <c r="M4" s="11"/>
      <c r="N4" s="6"/>
    </row>
    <row r="5" spans="1:14" s="4" customFormat="1" ht="15.75" x14ac:dyDescent="0.2">
      <c r="A5" s="1" t="s">
        <v>183</v>
      </c>
      <c r="B5" s="12" t="s">
        <v>211</v>
      </c>
      <c r="C5" s="12" t="s">
        <v>211</v>
      </c>
      <c r="D5" s="13"/>
      <c r="E5" s="14"/>
      <c r="G5" s="14"/>
      <c r="I5" s="14"/>
      <c r="K5" s="14"/>
      <c r="M5" s="14"/>
    </row>
    <row r="6" spans="1:14" s="4" customFormat="1" ht="15.75" x14ac:dyDescent="0.25">
      <c r="A6" s="15" t="s">
        <v>186</v>
      </c>
      <c r="B6" s="16">
        <v>4</v>
      </c>
      <c r="C6" s="17"/>
      <c r="D6" s="18"/>
      <c r="E6" s="19"/>
      <c r="F6" s="9"/>
      <c r="G6" s="8"/>
      <c r="H6" s="6"/>
      <c r="I6" s="8"/>
      <c r="J6" s="6"/>
      <c r="K6" s="8"/>
      <c r="L6" s="6"/>
      <c r="M6" s="8"/>
      <c r="N6" s="6"/>
    </row>
    <row r="7" spans="1:14" s="24" customFormat="1" x14ac:dyDescent="0.2">
      <c r="A7" s="20"/>
      <c r="B7" s="21"/>
      <c r="C7" s="22"/>
      <c r="D7" s="23"/>
      <c r="E7" s="22"/>
      <c r="F7" s="23"/>
      <c r="G7" s="22"/>
      <c r="H7" s="23"/>
      <c r="I7" s="22"/>
      <c r="J7" s="23"/>
      <c r="K7" s="22" t="s">
        <v>187</v>
      </c>
      <c r="L7" s="23"/>
      <c r="M7" s="22" t="s">
        <v>187</v>
      </c>
      <c r="N7" s="23"/>
    </row>
    <row r="8" spans="1:14" x14ac:dyDescent="0.2">
      <c r="C8" s="27" t="s">
        <v>188</v>
      </c>
      <c r="D8" s="28" t="s">
        <v>189</v>
      </c>
      <c r="E8" s="27" t="s">
        <v>188</v>
      </c>
      <c r="F8" s="28" t="s">
        <v>189</v>
      </c>
      <c r="G8" s="27" t="s">
        <v>190</v>
      </c>
      <c r="H8" s="28" t="s">
        <v>189</v>
      </c>
      <c r="I8" s="27" t="s">
        <v>191</v>
      </c>
      <c r="J8" s="28" t="s">
        <v>189</v>
      </c>
      <c r="K8" s="27" t="s">
        <v>192</v>
      </c>
      <c r="L8" s="28" t="s">
        <v>189</v>
      </c>
      <c r="M8" s="27" t="s">
        <v>192</v>
      </c>
      <c r="N8" s="28" t="s">
        <v>189</v>
      </c>
    </row>
    <row r="9" spans="1:14"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4" s="37" customFormat="1" x14ac:dyDescent="0.2">
      <c r="A10" s="139" t="s">
        <v>222</v>
      </c>
      <c r="B10" s="140"/>
    </row>
    <row r="11" spans="1:14" s="37" customFormat="1" x14ac:dyDescent="0.2">
      <c r="A11" s="139" t="s">
        <v>1552</v>
      </c>
      <c r="B11" s="140"/>
    </row>
    <row r="12" spans="1:14" s="40" customFormat="1" x14ac:dyDescent="0.2">
      <c r="A12" s="144" t="s">
        <v>1553</v>
      </c>
      <c r="B12" s="145"/>
    </row>
    <row r="13" spans="1:14" s="40" customFormat="1" x14ac:dyDescent="0.2">
      <c r="A13" s="150" t="s">
        <v>1554</v>
      </c>
      <c r="B13" s="145"/>
      <c r="C13" s="112">
        <v>17514</v>
      </c>
      <c r="E13" s="112">
        <v>17277</v>
      </c>
      <c r="G13" s="76">
        <v>17500</v>
      </c>
      <c r="I13" s="112">
        <v>17500</v>
      </c>
      <c r="K13" s="112">
        <v>17500</v>
      </c>
      <c r="M13" s="76"/>
    </row>
    <row r="14" spans="1:14" s="40" customFormat="1" x14ac:dyDescent="0.2">
      <c r="A14" s="150" t="s">
        <v>1555</v>
      </c>
      <c r="B14" s="145"/>
      <c r="C14" s="112">
        <v>44028</v>
      </c>
      <c r="E14" s="112">
        <v>46141</v>
      </c>
      <c r="G14" s="76">
        <v>44000</v>
      </c>
      <c r="I14" s="112">
        <v>44000</v>
      </c>
      <c r="K14" s="112">
        <v>45000</v>
      </c>
      <c r="M14" s="76"/>
    </row>
    <row r="15" spans="1:14" s="40" customFormat="1" x14ac:dyDescent="0.2">
      <c r="A15" s="150" t="s">
        <v>1556</v>
      </c>
      <c r="B15" s="145"/>
      <c r="C15" s="112">
        <v>860920</v>
      </c>
      <c r="E15" s="112">
        <v>830145</v>
      </c>
      <c r="G15" s="76">
        <v>865000</v>
      </c>
      <c r="I15" s="112">
        <v>865000</v>
      </c>
      <c r="K15" s="112">
        <v>850000</v>
      </c>
      <c r="M15" s="76"/>
    </row>
    <row r="16" spans="1:14" s="40" customFormat="1" x14ac:dyDescent="0.2">
      <c r="A16" s="144" t="s">
        <v>1557</v>
      </c>
      <c r="B16" s="145"/>
      <c r="C16" s="112">
        <v>5574</v>
      </c>
      <c r="E16" s="112">
        <v>6022</v>
      </c>
      <c r="G16" s="76">
        <v>6000</v>
      </c>
      <c r="I16" s="112">
        <v>6000</v>
      </c>
      <c r="K16" s="112">
        <v>6000</v>
      </c>
      <c r="M16" s="76"/>
    </row>
    <row r="17" spans="1:13" s="40" customFormat="1" x14ac:dyDescent="0.2">
      <c r="A17" s="144" t="s">
        <v>1558</v>
      </c>
      <c r="B17" s="145"/>
      <c r="C17" s="112">
        <v>101267</v>
      </c>
      <c r="E17" s="112">
        <v>85601</v>
      </c>
      <c r="G17" s="76">
        <v>102000</v>
      </c>
      <c r="I17" s="112">
        <v>102000</v>
      </c>
      <c r="K17" s="112">
        <v>102000</v>
      </c>
      <c r="M17" s="76"/>
    </row>
    <row r="18" spans="1:13" s="40" customFormat="1" x14ac:dyDescent="0.2">
      <c r="A18" s="144" t="s">
        <v>1559</v>
      </c>
      <c r="B18" s="145"/>
      <c r="C18" s="112">
        <v>41863</v>
      </c>
      <c r="E18" s="112">
        <v>35888</v>
      </c>
      <c r="G18" s="76">
        <v>42000</v>
      </c>
      <c r="I18" s="112">
        <v>37000</v>
      </c>
      <c r="K18" s="112">
        <v>37000</v>
      </c>
      <c r="M18" s="76"/>
    </row>
    <row r="19" spans="1:13" s="40" customFormat="1" x14ac:dyDescent="0.2">
      <c r="A19" s="150" t="s">
        <v>1560</v>
      </c>
      <c r="B19" s="145"/>
      <c r="C19" s="112">
        <v>3584</v>
      </c>
      <c r="E19" s="112">
        <v>3529</v>
      </c>
      <c r="G19" s="76">
        <v>4200</v>
      </c>
      <c r="I19" s="112">
        <v>3500</v>
      </c>
      <c r="K19" s="112">
        <v>3500</v>
      </c>
      <c r="M19" s="76"/>
    </row>
    <row r="20" spans="1:13" s="40" customFormat="1" ht="14.25" x14ac:dyDescent="0.2">
      <c r="A20" s="144" t="s">
        <v>1561</v>
      </c>
      <c r="B20" s="145"/>
      <c r="C20" s="112">
        <v>1588872</v>
      </c>
      <c r="D20" s="1055"/>
      <c r="E20" s="112">
        <v>1613280</v>
      </c>
      <c r="G20" s="76">
        <v>1500000</v>
      </c>
      <c r="I20" s="112">
        <v>1500000</v>
      </c>
      <c r="K20" s="112">
        <v>1500000</v>
      </c>
      <c r="M20" s="76"/>
    </row>
    <row r="21" spans="1:13" s="40" customFormat="1" x14ac:dyDescent="0.2">
      <c r="A21" s="150" t="s">
        <v>1562</v>
      </c>
      <c r="B21" s="145"/>
      <c r="C21" s="112">
        <v>1798</v>
      </c>
      <c r="E21" s="112">
        <v>3911</v>
      </c>
      <c r="G21" s="76">
        <v>2000</v>
      </c>
      <c r="I21" s="112">
        <v>2000</v>
      </c>
      <c r="K21" s="112">
        <v>2000</v>
      </c>
      <c r="M21" s="76"/>
    </row>
    <row r="22" spans="1:13" s="40" customFormat="1" x14ac:dyDescent="0.2">
      <c r="A22" s="150" t="s">
        <v>1563</v>
      </c>
      <c r="B22" s="145"/>
      <c r="C22" s="112">
        <v>4192</v>
      </c>
      <c r="E22" s="112">
        <v>4601</v>
      </c>
      <c r="G22" s="76">
        <v>4200</v>
      </c>
      <c r="I22" s="112">
        <v>4200</v>
      </c>
      <c r="K22" s="112">
        <v>4200</v>
      </c>
      <c r="M22" s="76"/>
    </row>
    <row r="23" spans="1:13" s="40" customFormat="1" x14ac:dyDescent="0.2">
      <c r="A23" s="144" t="s">
        <v>1564</v>
      </c>
      <c r="B23" s="145"/>
      <c r="C23" s="625">
        <v>757</v>
      </c>
      <c r="E23" s="625">
        <v>904</v>
      </c>
      <c r="G23" s="62">
        <v>810</v>
      </c>
      <c r="I23" s="625">
        <v>810</v>
      </c>
      <c r="K23" s="625">
        <v>1000</v>
      </c>
      <c r="M23" s="62"/>
    </row>
    <row r="24" spans="1:13" s="40" customFormat="1" x14ac:dyDescent="0.2">
      <c r="A24" s="150" t="s">
        <v>1565</v>
      </c>
      <c r="B24" s="145"/>
      <c r="C24" s="625">
        <v>1088</v>
      </c>
      <c r="E24" s="625">
        <v>936</v>
      </c>
      <c r="G24" s="62">
        <v>1465</v>
      </c>
      <c r="I24" s="625">
        <v>1150</v>
      </c>
      <c r="K24" s="625">
        <v>1150</v>
      </c>
      <c r="M24" s="62"/>
    </row>
    <row r="25" spans="1:13" s="40" customFormat="1" x14ac:dyDescent="0.2">
      <c r="A25" s="144" t="s">
        <v>1566</v>
      </c>
      <c r="B25" s="145"/>
      <c r="C25" s="112">
        <v>40</v>
      </c>
      <c r="E25" s="112">
        <v>30</v>
      </c>
      <c r="G25" s="76">
        <v>40</v>
      </c>
      <c r="I25" s="112">
        <v>40</v>
      </c>
      <c r="K25" s="112">
        <v>40</v>
      </c>
      <c r="M25" s="76"/>
    </row>
    <row r="26" spans="1:13" s="40" customFormat="1" x14ac:dyDescent="0.2">
      <c r="A26" s="144" t="s">
        <v>1567</v>
      </c>
      <c r="B26" s="145"/>
      <c r="C26" s="1013">
        <v>251</v>
      </c>
      <c r="E26" s="1013">
        <v>224</v>
      </c>
      <c r="G26" s="577">
        <v>250</v>
      </c>
      <c r="I26" s="1013">
        <v>250</v>
      </c>
      <c r="K26" s="1013">
        <v>255</v>
      </c>
      <c r="M26" s="577"/>
    </row>
    <row r="27" spans="1:13" s="40" customFormat="1" x14ac:dyDescent="0.2">
      <c r="A27" s="144" t="s">
        <v>1568</v>
      </c>
      <c r="B27" s="145"/>
      <c r="C27" s="112">
        <v>6</v>
      </c>
      <c r="E27" s="112">
        <v>3</v>
      </c>
      <c r="G27" s="76">
        <v>15</v>
      </c>
      <c r="I27" s="112">
        <v>4</v>
      </c>
      <c r="K27" s="112">
        <v>2</v>
      </c>
      <c r="M27" s="76"/>
    </row>
    <row r="28" spans="1:13" s="40" customFormat="1" x14ac:dyDescent="0.2">
      <c r="A28" s="150" t="s">
        <v>1569</v>
      </c>
      <c r="B28" s="145"/>
      <c r="C28" s="1007">
        <v>0.27</v>
      </c>
      <c r="E28" s="1007">
        <v>0.15</v>
      </c>
      <c r="G28" s="253">
        <v>0.5</v>
      </c>
      <c r="I28" s="1007">
        <v>0.15</v>
      </c>
      <c r="K28" s="1007">
        <v>0.1</v>
      </c>
      <c r="M28" s="253"/>
    </row>
    <row r="29" spans="1:13" s="40" customFormat="1" x14ac:dyDescent="0.2">
      <c r="A29" s="144" t="s">
        <v>1570</v>
      </c>
      <c r="B29" s="145"/>
      <c r="C29" s="1013">
        <v>136</v>
      </c>
      <c r="E29" s="1013">
        <v>125</v>
      </c>
      <c r="G29" s="577">
        <v>150</v>
      </c>
      <c r="I29" s="1013">
        <v>150</v>
      </c>
      <c r="K29" s="1013">
        <v>150</v>
      </c>
      <c r="M29" s="577"/>
    </row>
    <row r="30" spans="1:13" s="40" customFormat="1" x14ac:dyDescent="0.2">
      <c r="A30" s="150" t="s">
        <v>1571</v>
      </c>
      <c r="B30" s="145"/>
      <c r="C30" s="1013">
        <v>74</v>
      </c>
      <c r="E30" s="1013">
        <v>47</v>
      </c>
      <c r="G30" s="577">
        <v>70</v>
      </c>
      <c r="I30" s="1013">
        <v>70</v>
      </c>
      <c r="K30" s="1013">
        <v>70</v>
      </c>
      <c r="M30" s="577"/>
    </row>
    <row r="31" spans="1:13" s="40" customFormat="1" x14ac:dyDescent="0.2">
      <c r="A31" s="150" t="s">
        <v>1572</v>
      </c>
      <c r="B31" s="145"/>
      <c r="C31" s="1013">
        <v>79</v>
      </c>
      <c r="E31" s="1013">
        <v>153</v>
      </c>
      <c r="G31" s="577">
        <v>80</v>
      </c>
      <c r="I31" s="1013">
        <v>180</v>
      </c>
      <c r="K31" s="1013">
        <v>180</v>
      </c>
      <c r="M31" s="577"/>
    </row>
    <row r="32" spans="1:13" s="40" customFormat="1" x14ac:dyDescent="0.2">
      <c r="A32" s="150" t="s">
        <v>1573</v>
      </c>
      <c r="B32" s="145"/>
      <c r="C32" s="1007">
        <v>5</v>
      </c>
      <c r="E32" s="1007">
        <v>4.3</v>
      </c>
      <c r="G32" s="253">
        <v>5</v>
      </c>
      <c r="I32" s="1007">
        <v>5</v>
      </c>
      <c r="K32" s="1007">
        <v>5</v>
      </c>
      <c r="M32" s="253"/>
    </row>
    <row r="33" spans="1:13" s="40" customFormat="1" x14ac:dyDescent="0.2">
      <c r="A33" s="144" t="s">
        <v>1574</v>
      </c>
      <c r="B33" s="145"/>
      <c r="C33" s="1013">
        <v>153</v>
      </c>
      <c r="E33" s="1013">
        <v>162</v>
      </c>
      <c r="G33" s="577">
        <v>165</v>
      </c>
      <c r="I33" s="1013">
        <v>165</v>
      </c>
      <c r="K33" s="1013">
        <v>165</v>
      </c>
      <c r="M33" s="577"/>
    </row>
    <row r="34" spans="1:13" s="40" customFormat="1" ht="14.25" x14ac:dyDescent="0.2">
      <c r="A34" s="144" t="s">
        <v>1575</v>
      </c>
      <c r="B34" s="145"/>
      <c r="C34" s="112">
        <v>170</v>
      </c>
      <c r="E34" s="112">
        <v>288</v>
      </c>
      <c r="G34" s="76">
        <v>185</v>
      </c>
      <c r="I34" s="112">
        <v>185</v>
      </c>
      <c r="K34" s="112">
        <v>200</v>
      </c>
      <c r="M34" s="76"/>
    </row>
    <row r="35" spans="1:13" s="40" customFormat="1" x14ac:dyDescent="0.2">
      <c r="A35" s="150" t="s">
        <v>1576</v>
      </c>
      <c r="B35" s="145"/>
      <c r="C35" s="112">
        <v>214</v>
      </c>
      <c r="E35" s="112">
        <v>567</v>
      </c>
      <c r="G35" s="76">
        <v>235</v>
      </c>
      <c r="I35" s="112">
        <v>235</v>
      </c>
      <c r="K35" s="112">
        <v>250</v>
      </c>
      <c r="M35" s="76"/>
    </row>
    <row r="36" spans="1:13" s="40" customFormat="1" x14ac:dyDescent="0.2">
      <c r="A36" s="144" t="s">
        <v>1577</v>
      </c>
      <c r="B36" s="145"/>
      <c r="C36" s="112">
        <v>1071</v>
      </c>
      <c r="E36" s="112">
        <v>925</v>
      </c>
      <c r="G36" s="76">
        <v>1050</v>
      </c>
      <c r="I36" s="112">
        <v>950</v>
      </c>
      <c r="K36" s="112">
        <v>950</v>
      </c>
      <c r="M36" s="76"/>
    </row>
    <row r="37" spans="1:13" s="40" customFormat="1" x14ac:dyDescent="0.2">
      <c r="A37" s="150" t="s">
        <v>1578</v>
      </c>
      <c r="B37" s="145"/>
      <c r="C37" s="1013">
        <v>159</v>
      </c>
      <c r="E37" s="1013">
        <v>87</v>
      </c>
      <c r="G37" s="577">
        <v>150</v>
      </c>
      <c r="I37" s="1013">
        <v>105</v>
      </c>
      <c r="K37" s="1013">
        <v>105</v>
      </c>
      <c r="M37" s="577"/>
    </row>
    <row r="38" spans="1:13" s="40" customFormat="1" x14ac:dyDescent="0.2">
      <c r="A38" s="144" t="s">
        <v>1579</v>
      </c>
      <c r="B38" s="145"/>
      <c r="C38" s="1013">
        <v>130</v>
      </c>
      <c r="E38" s="1013">
        <v>140</v>
      </c>
      <c r="G38" s="577">
        <v>140</v>
      </c>
      <c r="I38" s="1013">
        <v>140</v>
      </c>
      <c r="K38" s="1013">
        <v>150</v>
      </c>
      <c r="M38" s="577"/>
    </row>
    <row r="39" spans="1:13" s="40" customFormat="1" x14ac:dyDescent="0.2">
      <c r="A39" s="144" t="s">
        <v>1580</v>
      </c>
      <c r="B39" s="145"/>
      <c r="C39" s="1013">
        <v>280</v>
      </c>
      <c r="E39" s="1013">
        <v>435</v>
      </c>
      <c r="G39" s="577">
        <v>285</v>
      </c>
      <c r="I39" s="1013">
        <v>450</v>
      </c>
      <c r="K39" s="1013">
        <v>475</v>
      </c>
      <c r="M39" s="577"/>
    </row>
    <row r="40" spans="1:13" s="40" customFormat="1" x14ac:dyDescent="0.2">
      <c r="A40" s="144" t="s">
        <v>1581</v>
      </c>
      <c r="B40" s="145"/>
      <c r="C40" s="1013">
        <v>311</v>
      </c>
      <c r="E40" s="1013">
        <v>325</v>
      </c>
      <c r="G40" s="577">
        <v>330</v>
      </c>
      <c r="I40" s="1013">
        <v>325</v>
      </c>
      <c r="K40" s="1013">
        <v>325</v>
      </c>
      <c r="M40" s="577"/>
    </row>
    <row r="41" spans="1:13" s="40" customFormat="1" x14ac:dyDescent="0.2">
      <c r="A41" s="144" t="s">
        <v>1582</v>
      </c>
      <c r="B41" s="145"/>
      <c r="C41" s="1013">
        <v>452</v>
      </c>
      <c r="E41" s="1013">
        <v>410</v>
      </c>
      <c r="G41" s="577">
        <v>450</v>
      </c>
      <c r="I41" s="1013">
        <v>450</v>
      </c>
      <c r="K41" s="1013">
        <v>450</v>
      </c>
      <c r="M41" s="577"/>
    </row>
    <row r="42" spans="1:13" s="40" customFormat="1" x14ac:dyDescent="0.2">
      <c r="A42" s="150" t="s">
        <v>1583</v>
      </c>
      <c r="B42" s="145"/>
      <c r="C42" s="112">
        <v>444</v>
      </c>
      <c r="E42" s="112">
        <v>404</v>
      </c>
      <c r="G42" s="76">
        <v>448</v>
      </c>
      <c r="I42" s="112">
        <v>448</v>
      </c>
      <c r="K42" s="112">
        <v>448</v>
      </c>
      <c r="M42" s="76"/>
    </row>
    <row r="43" spans="1:13" s="40" customFormat="1" x14ac:dyDescent="0.2">
      <c r="A43" s="150" t="s">
        <v>1584</v>
      </c>
      <c r="B43" s="145"/>
      <c r="C43" s="112">
        <v>8</v>
      </c>
      <c r="E43" s="112">
        <v>6</v>
      </c>
      <c r="G43" s="76">
        <v>2</v>
      </c>
      <c r="I43" s="112">
        <v>2</v>
      </c>
      <c r="K43" s="112">
        <v>2</v>
      </c>
      <c r="M43" s="76"/>
    </row>
    <row r="44" spans="1:13" s="40" customFormat="1" x14ac:dyDescent="0.2">
      <c r="A44" s="144" t="s">
        <v>1585</v>
      </c>
      <c r="B44" s="145"/>
      <c r="C44" s="112">
        <v>16795</v>
      </c>
      <c r="E44" s="112">
        <v>17383</v>
      </c>
      <c r="G44" s="76">
        <v>17300</v>
      </c>
      <c r="I44" s="112">
        <v>17300</v>
      </c>
      <c r="K44" s="112">
        <v>17650</v>
      </c>
      <c r="M44" s="76"/>
    </row>
    <row r="45" spans="1:13" s="40" customFormat="1" x14ac:dyDescent="0.2">
      <c r="A45" s="144" t="s">
        <v>1586</v>
      </c>
      <c r="B45" s="145"/>
      <c r="C45" s="112">
        <v>45984</v>
      </c>
      <c r="E45" s="112">
        <v>48683</v>
      </c>
      <c r="G45" s="76">
        <v>50000</v>
      </c>
      <c r="I45" s="112">
        <v>51000</v>
      </c>
      <c r="K45" s="112">
        <v>51000</v>
      </c>
      <c r="M45" s="76"/>
    </row>
    <row r="46" spans="1:13" s="40" customFormat="1" x14ac:dyDescent="0.2">
      <c r="A46" s="150" t="s">
        <v>1587</v>
      </c>
      <c r="B46" s="145"/>
      <c r="C46" s="112">
        <v>37598</v>
      </c>
      <c r="E46" s="112">
        <v>40008</v>
      </c>
      <c r="G46" s="76">
        <v>41000</v>
      </c>
      <c r="I46" s="112">
        <v>42000</v>
      </c>
      <c r="K46" s="112">
        <v>42000</v>
      </c>
      <c r="M46" s="76"/>
    </row>
    <row r="47" spans="1:13" s="40" customFormat="1" x14ac:dyDescent="0.2">
      <c r="A47" s="144" t="s">
        <v>1588</v>
      </c>
      <c r="B47" s="145"/>
      <c r="C47" s="112">
        <v>1850</v>
      </c>
      <c r="E47" s="112">
        <v>1836</v>
      </c>
      <c r="G47" s="76">
        <v>1900</v>
      </c>
      <c r="I47" s="112">
        <v>1900</v>
      </c>
      <c r="K47" s="112">
        <v>1921</v>
      </c>
      <c r="M47" s="76"/>
    </row>
    <row r="48" spans="1:13" s="40" customFormat="1" x14ac:dyDescent="0.2">
      <c r="A48" s="144" t="s">
        <v>1589</v>
      </c>
      <c r="B48" s="145"/>
      <c r="C48" s="112">
        <v>5338</v>
      </c>
      <c r="E48" s="112">
        <v>5263</v>
      </c>
      <c r="G48" s="76">
        <v>5200</v>
      </c>
      <c r="I48" s="112">
        <v>5200</v>
      </c>
      <c r="K48" s="112">
        <v>5100</v>
      </c>
      <c r="M48" s="76"/>
    </row>
    <row r="49" spans="1:13" s="40" customFormat="1" x14ac:dyDescent="0.2">
      <c r="A49" s="144" t="s">
        <v>1590</v>
      </c>
      <c r="B49" s="145"/>
      <c r="C49" s="112">
        <v>4788</v>
      </c>
      <c r="E49" s="112">
        <v>4762</v>
      </c>
      <c r="G49" s="76">
        <v>5100</v>
      </c>
      <c r="I49" s="112">
        <v>5100</v>
      </c>
      <c r="K49" s="112">
        <v>5500</v>
      </c>
      <c r="M49" s="76"/>
    </row>
    <row r="50" spans="1:13" s="40" customFormat="1" x14ac:dyDescent="0.2">
      <c r="A50" s="144" t="s">
        <v>1591</v>
      </c>
      <c r="B50" s="145"/>
      <c r="C50" s="112">
        <v>750</v>
      </c>
      <c r="E50" s="112">
        <v>662</v>
      </c>
      <c r="G50" s="76">
        <v>850</v>
      </c>
      <c r="I50" s="112">
        <v>850</v>
      </c>
      <c r="K50" s="112">
        <v>720</v>
      </c>
      <c r="M50" s="76"/>
    </row>
    <row r="51" spans="1:13" s="40" customFormat="1" x14ac:dyDescent="0.2">
      <c r="A51" s="144" t="s">
        <v>1592</v>
      </c>
      <c r="B51" s="145"/>
      <c r="C51" s="112">
        <v>820</v>
      </c>
      <c r="E51" s="112">
        <v>841</v>
      </c>
      <c r="G51" s="76">
        <v>820</v>
      </c>
      <c r="I51" s="112">
        <v>820</v>
      </c>
      <c r="K51" s="112">
        <v>870</v>
      </c>
      <c r="M51" s="76"/>
    </row>
    <row r="52" spans="1:13" s="40" customFormat="1" x14ac:dyDescent="0.2">
      <c r="A52" s="144" t="s">
        <v>1593</v>
      </c>
      <c r="B52" s="145"/>
      <c r="C52" s="112">
        <v>10857</v>
      </c>
      <c r="E52" s="112">
        <v>25770</v>
      </c>
      <c r="G52" s="76">
        <v>11000</v>
      </c>
      <c r="I52" s="112">
        <v>11000</v>
      </c>
      <c r="K52" s="112">
        <v>27000</v>
      </c>
      <c r="M52" s="76"/>
    </row>
    <row r="53" spans="1:13" s="40" customFormat="1" x14ac:dyDescent="0.2">
      <c r="A53" s="144" t="s">
        <v>1594</v>
      </c>
      <c r="B53" s="145"/>
      <c r="C53" s="112">
        <v>43</v>
      </c>
      <c r="E53" s="112">
        <v>202</v>
      </c>
      <c r="G53" s="76">
        <v>50</v>
      </c>
      <c r="I53" s="112">
        <v>50</v>
      </c>
      <c r="K53" s="112">
        <v>240</v>
      </c>
      <c r="M53" s="76"/>
    </row>
    <row r="54" spans="1:13" s="40" customFormat="1" x14ac:dyDescent="0.2">
      <c r="A54" s="144" t="s">
        <v>1595</v>
      </c>
      <c r="B54" s="145"/>
      <c r="C54" s="112">
        <v>8</v>
      </c>
      <c r="E54" s="112">
        <v>20</v>
      </c>
      <c r="G54" s="76">
        <v>11</v>
      </c>
      <c r="I54" s="112">
        <v>11</v>
      </c>
      <c r="K54" s="112">
        <v>28</v>
      </c>
      <c r="M54" s="76"/>
    </row>
    <row r="55" spans="1:13" s="40" customFormat="1" x14ac:dyDescent="0.2">
      <c r="A55" s="144" t="s">
        <v>1596</v>
      </c>
      <c r="B55" s="145"/>
      <c r="C55" s="111"/>
      <c r="E55" s="111"/>
      <c r="I55" s="111"/>
      <c r="K55" s="111"/>
      <c r="M55" s="76"/>
    </row>
    <row r="56" spans="1:13" s="40" customFormat="1" x14ac:dyDescent="0.2">
      <c r="A56" s="150" t="s">
        <v>1597</v>
      </c>
      <c r="B56" s="145"/>
      <c r="C56" s="112">
        <v>6100000</v>
      </c>
      <c r="E56" s="112">
        <v>5340000</v>
      </c>
      <c r="G56" s="76">
        <v>6100000</v>
      </c>
      <c r="I56" s="112">
        <v>5500000</v>
      </c>
      <c r="K56" s="112">
        <v>6000000</v>
      </c>
      <c r="M56" s="76"/>
    </row>
    <row r="57" spans="1:13" s="40" customFormat="1" x14ac:dyDescent="0.2">
      <c r="A57" s="150" t="s">
        <v>1598</v>
      </c>
      <c r="B57" s="145"/>
      <c r="C57" s="112">
        <v>6100000</v>
      </c>
      <c r="E57" s="112">
        <v>5340000</v>
      </c>
      <c r="G57" s="76">
        <v>6100000</v>
      </c>
      <c r="I57" s="112">
        <v>5500000</v>
      </c>
      <c r="K57" s="112">
        <v>6000000</v>
      </c>
      <c r="M57" s="76"/>
    </row>
    <row r="58" spans="1:13" s="40" customFormat="1" ht="14.25" x14ac:dyDescent="0.2">
      <c r="A58" s="150" t="s">
        <v>1599</v>
      </c>
      <c r="B58" s="145"/>
      <c r="C58" s="112">
        <v>7600000</v>
      </c>
      <c r="E58" s="112">
        <v>20475000</v>
      </c>
      <c r="G58" s="76">
        <v>7720000</v>
      </c>
      <c r="I58" s="112">
        <v>24000000</v>
      </c>
      <c r="K58" s="112">
        <v>27000000</v>
      </c>
      <c r="M58" s="76"/>
    </row>
    <row r="59" spans="1:13" s="40" customFormat="1" x14ac:dyDescent="0.2">
      <c r="A59" s="144" t="s">
        <v>1600</v>
      </c>
      <c r="B59" s="145"/>
      <c r="C59" s="1013">
        <v>145</v>
      </c>
      <c r="E59" s="1013">
        <v>272</v>
      </c>
      <c r="G59" s="577">
        <v>145</v>
      </c>
      <c r="I59" s="1013">
        <v>282</v>
      </c>
      <c r="K59" s="1013">
        <v>286</v>
      </c>
      <c r="M59" s="577"/>
    </row>
    <row r="60" spans="1:13" s="40" customFormat="1" x14ac:dyDescent="0.2">
      <c r="A60" s="144" t="s">
        <v>1601</v>
      </c>
      <c r="B60" s="145"/>
      <c r="C60" s="111"/>
      <c r="E60" s="111"/>
      <c r="I60" s="111"/>
      <c r="K60" s="111"/>
      <c r="M60" s="577"/>
    </row>
    <row r="61" spans="1:13" s="40" customFormat="1" x14ac:dyDescent="0.2">
      <c r="A61" s="150" t="s">
        <v>1602</v>
      </c>
      <c r="B61" s="145"/>
      <c r="C61" s="1013">
        <v>184</v>
      </c>
      <c r="E61" s="1013">
        <v>131</v>
      </c>
      <c r="G61" s="577">
        <v>200</v>
      </c>
      <c r="I61" s="1013">
        <v>175</v>
      </c>
      <c r="K61" s="1013">
        <v>175</v>
      </c>
      <c r="M61" s="577"/>
    </row>
    <row r="62" spans="1:13" s="40" customFormat="1" x14ac:dyDescent="0.2">
      <c r="A62" s="150" t="s">
        <v>1603</v>
      </c>
      <c r="B62" s="145"/>
      <c r="C62" s="112">
        <v>148</v>
      </c>
      <c r="E62" s="112">
        <v>107</v>
      </c>
      <c r="G62" s="76">
        <v>150</v>
      </c>
      <c r="I62" s="112">
        <v>115</v>
      </c>
      <c r="K62" s="112">
        <v>115</v>
      </c>
      <c r="M62" s="76"/>
    </row>
    <row r="63" spans="1:13" s="40" customFormat="1" x14ac:dyDescent="0.2">
      <c r="A63" s="150" t="s">
        <v>1604</v>
      </c>
      <c r="B63" s="145"/>
      <c r="C63" s="112">
        <v>2968</v>
      </c>
      <c r="E63" s="112">
        <v>2974</v>
      </c>
      <c r="G63" s="76">
        <v>2500</v>
      </c>
      <c r="I63" s="112">
        <v>2900</v>
      </c>
      <c r="K63" s="112">
        <v>2900</v>
      </c>
      <c r="M63" s="76"/>
    </row>
    <row r="64" spans="1:13" s="40" customFormat="1" x14ac:dyDescent="0.2">
      <c r="A64" s="150" t="s">
        <v>1605</v>
      </c>
      <c r="B64" s="145"/>
      <c r="C64" s="112">
        <v>5563</v>
      </c>
      <c r="E64" s="112">
        <v>5955</v>
      </c>
      <c r="G64" s="76">
        <v>5500</v>
      </c>
      <c r="I64" s="112">
        <v>5700</v>
      </c>
      <c r="K64" s="112">
        <v>5700</v>
      </c>
      <c r="M64" s="76"/>
    </row>
    <row r="65" spans="1:13" s="40" customFormat="1" x14ac:dyDescent="0.2">
      <c r="A65" s="150" t="s">
        <v>1606</v>
      </c>
      <c r="B65" s="145"/>
      <c r="C65" s="112">
        <v>528</v>
      </c>
      <c r="E65" s="112">
        <v>573</v>
      </c>
      <c r="G65" s="76">
        <v>500</v>
      </c>
      <c r="I65" s="112">
        <v>500</v>
      </c>
      <c r="K65" s="112">
        <v>500</v>
      </c>
      <c r="M65" s="76"/>
    </row>
    <row r="66" spans="1:13" s="40" customFormat="1" x14ac:dyDescent="0.2">
      <c r="A66" s="150" t="s">
        <v>1607</v>
      </c>
      <c r="B66" s="145"/>
      <c r="C66" s="112">
        <v>33</v>
      </c>
      <c r="E66" s="112">
        <v>25</v>
      </c>
      <c r="G66" s="76">
        <v>45</v>
      </c>
      <c r="I66" s="112">
        <v>30</v>
      </c>
      <c r="K66" s="112">
        <v>30</v>
      </c>
      <c r="M66" s="76"/>
    </row>
    <row r="67" spans="1:13" s="40" customFormat="1" ht="14.25" x14ac:dyDescent="0.2">
      <c r="A67" s="150" t="s">
        <v>1608</v>
      </c>
      <c r="B67" s="145"/>
      <c r="C67" s="1013">
        <v>17</v>
      </c>
      <c r="D67" s="1055"/>
      <c r="E67" s="1013">
        <v>3</v>
      </c>
      <c r="F67" s="1055"/>
      <c r="G67" s="577">
        <v>24</v>
      </c>
      <c r="I67" s="1013">
        <v>20</v>
      </c>
      <c r="K67" s="1013">
        <v>20</v>
      </c>
      <c r="M67" s="577"/>
    </row>
    <row r="68" spans="1:13" s="40" customFormat="1" x14ac:dyDescent="0.2">
      <c r="A68" s="144" t="s">
        <v>1609</v>
      </c>
      <c r="B68" s="145"/>
      <c r="C68" s="111"/>
      <c r="E68" s="111"/>
      <c r="I68" s="111"/>
      <c r="K68" s="111"/>
      <c r="M68" s="76"/>
    </row>
    <row r="69" spans="1:13" s="40" customFormat="1" x14ac:dyDescent="0.2">
      <c r="A69" s="150" t="s">
        <v>1610</v>
      </c>
      <c r="B69" s="145"/>
      <c r="C69" s="577">
        <v>60</v>
      </c>
      <c r="E69" s="577">
        <v>39</v>
      </c>
      <c r="G69" s="577">
        <v>40</v>
      </c>
      <c r="I69" s="577">
        <v>40</v>
      </c>
      <c r="K69" s="577">
        <v>40</v>
      </c>
      <c r="M69" s="577"/>
    </row>
    <row r="70" spans="1:13" s="40" customFormat="1" x14ac:dyDescent="0.2">
      <c r="A70" s="150" t="s">
        <v>1611</v>
      </c>
      <c r="B70" s="145"/>
      <c r="C70" s="76">
        <v>347</v>
      </c>
      <c r="E70" s="76">
        <v>211</v>
      </c>
      <c r="G70" s="76">
        <v>200</v>
      </c>
      <c r="I70" s="76">
        <v>220</v>
      </c>
      <c r="K70" s="76">
        <v>220</v>
      </c>
      <c r="M70" s="76"/>
    </row>
    <row r="71" spans="1:13" s="37" customFormat="1" x14ac:dyDescent="0.2">
      <c r="A71" s="139" t="s">
        <v>1612</v>
      </c>
      <c r="B71" s="140"/>
      <c r="C71" s="87"/>
      <c r="E71" s="87"/>
      <c r="I71" s="87"/>
      <c r="K71" s="87"/>
      <c r="M71" s="87"/>
    </row>
    <row r="72" spans="1:13" s="40" customFormat="1" x14ac:dyDescent="0.2">
      <c r="A72" s="144" t="s">
        <v>1613</v>
      </c>
      <c r="B72" s="145"/>
      <c r="C72" s="76">
        <v>8900</v>
      </c>
      <c r="E72" s="76">
        <v>9087</v>
      </c>
      <c r="G72" s="76">
        <v>9000</v>
      </c>
      <c r="I72" s="76">
        <v>9000</v>
      </c>
      <c r="K72" s="76">
        <v>9000</v>
      </c>
      <c r="M72" s="76"/>
    </row>
    <row r="73" spans="1:13" s="40" customFormat="1" x14ac:dyDescent="0.2">
      <c r="A73" s="144" t="s">
        <v>1614</v>
      </c>
      <c r="B73" s="145"/>
      <c r="C73" s="76">
        <v>9000</v>
      </c>
      <c r="E73" s="76">
        <v>7966</v>
      </c>
      <c r="G73" s="76">
        <v>9010</v>
      </c>
      <c r="I73" s="76">
        <v>8000</v>
      </c>
      <c r="K73" s="76">
        <v>8000</v>
      </c>
      <c r="M73" s="76"/>
    </row>
    <row r="74" spans="1:13" s="40" customFormat="1" x14ac:dyDescent="0.2">
      <c r="A74" s="144" t="s">
        <v>1615</v>
      </c>
      <c r="B74" s="145"/>
      <c r="C74" s="76">
        <v>8500</v>
      </c>
      <c r="E74" s="76">
        <v>9075</v>
      </c>
      <c r="G74" s="76">
        <v>8600</v>
      </c>
      <c r="I74" s="76">
        <v>9100</v>
      </c>
      <c r="K74" s="76">
        <v>9100</v>
      </c>
      <c r="M74" s="76"/>
    </row>
    <row r="75" spans="1:13" s="40" customFormat="1" x14ac:dyDescent="0.2">
      <c r="A75" s="144" t="s">
        <v>1616</v>
      </c>
      <c r="B75" s="145"/>
      <c r="C75" s="76">
        <v>9000</v>
      </c>
      <c r="E75" s="76">
        <v>7966</v>
      </c>
      <c r="G75" s="76">
        <v>9010</v>
      </c>
      <c r="I75" s="76">
        <v>8000</v>
      </c>
      <c r="K75" s="76">
        <v>8000</v>
      </c>
      <c r="M75" s="76"/>
    </row>
    <row r="76" spans="1:13" s="40" customFormat="1" x14ac:dyDescent="0.2">
      <c r="A76" s="144" t="s">
        <v>1617</v>
      </c>
      <c r="B76" s="145"/>
      <c r="C76" s="76">
        <v>1565</v>
      </c>
      <c r="E76" s="76">
        <v>1408</v>
      </c>
      <c r="G76" s="76">
        <v>1646</v>
      </c>
      <c r="I76" s="76">
        <v>1500</v>
      </c>
      <c r="K76" s="76">
        <v>1500</v>
      </c>
      <c r="M76" s="76"/>
    </row>
    <row r="77" spans="1:13" s="40" customFormat="1" x14ac:dyDescent="0.2">
      <c r="A77" s="144" t="s">
        <v>1618</v>
      </c>
      <c r="B77" s="145"/>
      <c r="C77" s="76">
        <v>1629</v>
      </c>
      <c r="E77" s="76">
        <v>1484</v>
      </c>
      <c r="G77" s="76">
        <v>1630</v>
      </c>
      <c r="I77" s="76">
        <v>1600</v>
      </c>
      <c r="K77" s="76">
        <v>1600</v>
      </c>
      <c r="M77" s="76"/>
    </row>
    <row r="78" spans="1:13" s="40" customFormat="1" x14ac:dyDescent="0.2">
      <c r="A78" s="144" t="s">
        <v>1619</v>
      </c>
      <c r="B78" s="145"/>
      <c r="C78" s="76">
        <v>556</v>
      </c>
      <c r="E78" s="76">
        <v>600</v>
      </c>
      <c r="G78" s="76">
        <v>560</v>
      </c>
      <c r="I78" s="76">
        <v>605</v>
      </c>
      <c r="K78" s="76">
        <v>605</v>
      </c>
      <c r="M78" s="76"/>
    </row>
    <row r="79" spans="1:13" s="40" customFormat="1" x14ac:dyDescent="0.2">
      <c r="A79" s="144" t="s">
        <v>1620</v>
      </c>
      <c r="B79" s="145"/>
      <c r="C79" s="76">
        <v>1174</v>
      </c>
      <c r="E79" s="76">
        <v>1100</v>
      </c>
      <c r="G79" s="76">
        <v>1200</v>
      </c>
      <c r="I79" s="76">
        <v>1125</v>
      </c>
      <c r="K79" s="76">
        <v>1125</v>
      </c>
      <c r="M79" s="76"/>
    </row>
    <row r="80" spans="1:13" s="40" customFormat="1" x14ac:dyDescent="0.2">
      <c r="A80" s="144" t="s">
        <v>1621</v>
      </c>
      <c r="B80" s="145"/>
      <c r="C80" s="76">
        <v>248</v>
      </c>
      <c r="E80" s="76">
        <v>260</v>
      </c>
      <c r="G80" s="76">
        <v>250</v>
      </c>
      <c r="I80" s="76">
        <v>265</v>
      </c>
      <c r="K80" s="76">
        <v>265</v>
      </c>
      <c r="M80" s="76"/>
    </row>
    <row r="81" spans="1:13" s="40" customFormat="1" x14ac:dyDescent="0.2">
      <c r="A81" s="144" t="s">
        <v>1622</v>
      </c>
      <c r="B81" s="145"/>
      <c r="C81" s="253">
        <v>1.7</v>
      </c>
      <c r="E81" s="253">
        <v>5.23</v>
      </c>
      <c r="G81" s="253">
        <v>1</v>
      </c>
      <c r="I81" s="253">
        <v>1</v>
      </c>
      <c r="K81" s="253">
        <v>1</v>
      </c>
      <c r="M81" s="253"/>
    </row>
    <row r="82" spans="1:13" s="40" customFormat="1" x14ac:dyDescent="0.2">
      <c r="A82" s="144" t="s">
        <v>1623</v>
      </c>
      <c r="B82" s="145"/>
      <c r="C82" s="253">
        <v>0.43</v>
      </c>
      <c r="E82" s="253">
        <v>0.42</v>
      </c>
      <c r="G82" s="253">
        <v>0.44</v>
      </c>
      <c r="I82" s="253">
        <v>0.44</v>
      </c>
      <c r="K82" s="253">
        <v>0.44</v>
      </c>
      <c r="M82" s="253"/>
    </row>
    <row r="83" spans="1:13" s="40" customFormat="1" x14ac:dyDescent="0.2">
      <c r="A83" s="144" t="s">
        <v>1624</v>
      </c>
      <c r="B83" s="145"/>
      <c r="C83" s="76">
        <v>207</v>
      </c>
      <c r="E83" s="76">
        <v>241</v>
      </c>
      <c r="G83" s="76">
        <v>207</v>
      </c>
      <c r="I83" s="76">
        <v>242</v>
      </c>
      <c r="K83" s="76">
        <v>242</v>
      </c>
      <c r="M83" s="76"/>
    </row>
    <row r="84" spans="1:13" s="40" customFormat="1" x14ac:dyDescent="0.2">
      <c r="A84" s="144" t="s">
        <v>1625</v>
      </c>
      <c r="B84" s="145"/>
      <c r="C84" s="76">
        <v>533</v>
      </c>
      <c r="E84" s="76">
        <v>479</v>
      </c>
      <c r="G84" s="76">
        <v>484</v>
      </c>
      <c r="I84" s="76">
        <v>480</v>
      </c>
      <c r="K84" s="76">
        <v>480</v>
      </c>
      <c r="M84" s="76"/>
    </row>
    <row r="85" spans="1:13" s="40" customFormat="1" x14ac:dyDescent="0.2">
      <c r="A85" s="144" t="s">
        <v>1626</v>
      </c>
      <c r="B85" s="145"/>
      <c r="C85" s="76">
        <v>1000</v>
      </c>
      <c r="E85" s="76">
        <v>1020</v>
      </c>
      <c r="G85" s="76">
        <v>1025</v>
      </c>
      <c r="I85" s="76">
        <v>1025</v>
      </c>
      <c r="K85" s="76">
        <v>1025</v>
      </c>
      <c r="M85" s="76"/>
    </row>
    <row r="86" spans="1:13" s="40" customFormat="1" x14ac:dyDescent="0.2">
      <c r="A86" s="144" t="s">
        <v>1627</v>
      </c>
      <c r="B86" s="145"/>
      <c r="C86" s="253">
        <v>0.34</v>
      </c>
      <c r="E86" s="253">
        <v>0.8</v>
      </c>
      <c r="G86" s="253">
        <v>0.35</v>
      </c>
      <c r="I86" s="253">
        <v>0.8</v>
      </c>
      <c r="K86" s="253">
        <v>0.8</v>
      </c>
      <c r="M86" s="253"/>
    </row>
    <row r="87" spans="1:13" s="40" customFormat="1" x14ac:dyDescent="0.2">
      <c r="A87" s="144" t="s">
        <v>1628</v>
      </c>
      <c r="B87" s="145"/>
      <c r="C87" s="253">
        <v>18</v>
      </c>
      <c r="E87" s="253">
        <v>39.700000000000003</v>
      </c>
      <c r="G87" s="253">
        <v>13</v>
      </c>
      <c r="I87" s="253">
        <v>15</v>
      </c>
      <c r="K87" s="253">
        <v>15</v>
      </c>
      <c r="M87" s="253"/>
    </row>
    <row r="88" spans="1:13" s="40" customFormat="1" x14ac:dyDescent="0.2">
      <c r="A88" s="144" t="s">
        <v>1629</v>
      </c>
      <c r="B88" s="145"/>
      <c r="C88" s="76">
        <v>175</v>
      </c>
      <c r="E88" s="76">
        <v>176</v>
      </c>
      <c r="G88" s="76">
        <v>176</v>
      </c>
      <c r="I88" s="76">
        <v>176</v>
      </c>
      <c r="K88" s="76">
        <v>176</v>
      </c>
      <c r="M88" s="76"/>
    </row>
    <row r="89" spans="1:13" s="40" customFormat="1" x14ac:dyDescent="0.2">
      <c r="A89" s="150" t="s">
        <v>1630</v>
      </c>
      <c r="B89" s="145"/>
      <c r="C89" s="76">
        <v>5250</v>
      </c>
      <c r="E89" s="76">
        <v>5327</v>
      </c>
      <c r="G89" s="76">
        <v>5280</v>
      </c>
      <c r="I89" s="76">
        <v>5300</v>
      </c>
      <c r="K89" s="76">
        <v>5300</v>
      </c>
      <c r="M89" s="76"/>
    </row>
    <row r="90" spans="1:13" s="40" customFormat="1" x14ac:dyDescent="0.2">
      <c r="A90" s="144" t="s">
        <v>1631</v>
      </c>
      <c r="B90" s="145"/>
      <c r="C90" s="76">
        <v>150</v>
      </c>
      <c r="E90" s="76">
        <v>162</v>
      </c>
      <c r="G90" s="76">
        <v>150</v>
      </c>
      <c r="I90" s="76">
        <v>160</v>
      </c>
      <c r="K90" s="76">
        <v>160</v>
      </c>
      <c r="M90" s="76"/>
    </row>
    <row r="91" spans="1:13" s="40" customFormat="1" x14ac:dyDescent="0.2">
      <c r="A91" s="150" t="s">
        <v>1632</v>
      </c>
      <c r="B91" s="145"/>
      <c r="C91" s="76">
        <v>3600</v>
      </c>
      <c r="E91" s="76">
        <v>3499</v>
      </c>
      <c r="G91" s="76">
        <v>3400</v>
      </c>
      <c r="I91" s="76">
        <v>3500</v>
      </c>
      <c r="K91" s="76">
        <v>3500</v>
      </c>
      <c r="M91" s="76"/>
    </row>
    <row r="92" spans="1:13" s="37" customFormat="1" x14ac:dyDescent="0.2">
      <c r="A92" s="139" t="s">
        <v>1633</v>
      </c>
      <c r="B92" s="140"/>
      <c r="C92" s="402"/>
      <c r="E92" s="402"/>
      <c r="G92" s="87"/>
      <c r="I92" s="402"/>
      <c r="K92" s="402"/>
      <c r="M92" s="87"/>
    </row>
    <row r="93" spans="1:13" s="40" customFormat="1" ht="14.25" x14ac:dyDescent="0.2">
      <c r="A93" s="144" t="s">
        <v>1634</v>
      </c>
      <c r="B93" s="145"/>
      <c r="C93" s="112">
        <v>2083</v>
      </c>
      <c r="E93" s="112">
        <v>2337</v>
      </c>
      <c r="G93" s="76">
        <v>2580</v>
      </c>
      <c r="I93" s="112">
        <v>2570</v>
      </c>
      <c r="K93" s="112">
        <v>2827</v>
      </c>
      <c r="M93" s="76"/>
    </row>
    <row r="94" spans="1:13" s="40" customFormat="1" ht="14.25" x14ac:dyDescent="0.2">
      <c r="A94" s="144" t="s">
        <v>1635</v>
      </c>
      <c r="B94" s="145"/>
      <c r="C94" s="112">
        <v>1796</v>
      </c>
      <c r="D94" s="148"/>
      <c r="E94" s="112">
        <v>2010</v>
      </c>
      <c r="G94" s="76">
        <v>1775</v>
      </c>
      <c r="I94" s="112">
        <v>2251</v>
      </c>
      <c r="K94" s="112">
        <v>2521</v>
      </c>
      <c r="M94" s="76"/>
    </row>
    <row r="95" spans="1:13" s="40" customFormat="1" ht="14.25" x14ac:dyDescent="0.2">
      <c r="A95" s="144" t="s">
        <v>1636</v>
      </c>
      <c r="B95" s="145"/>
      <c r="C95" s="112">
        <v>2706</v>
      </c>
      <c r="D95" s="148"/>
      <c r="E95" s="112">
        <v>2962</v>
      </c>
      <c r="G95" s="76">
        <v>6760</v>
      </c>
      <c r="I95" s="112">
        <v>3258</v>
      </c>
      <c r="K95" s="112">
        <v>3583</v>
      </c>
      <c r="M95" s="76"/>
    </row>
    <row r="96" spans="1:13" s="40" customFormat="1" x14ac:dyDescent="0.2">
      <c r="A96" s="144" t="s">
        <v>1637</v>
      </c>
      <c r="B96" s="145"/>
      <c r="C96" s="112">
        <v>16624</v>
      </c>
      <c r="E96" s="112">
        <v>17114</v>
      </c>
      <c r="G96" s="76">
        <v>15705</v>
      </c>
      <c r="I96" s="112">
        <v>17120</v>
      </c>
      <c r="K96" s="112">
        <v>17120</v>
      </c>
      <c r="M96" s="76"/>
    </row>
    <row r="97" spans="1:13" s="37" customFormat="1" x14ac:dyDescent="0.2">
      <c r="A97" s="139" t="s">
        <v>1638</v>
      </c>
      <c r="B97" s="140"/>
      <c r="C97" s="402"/>
      <c r="D97" s="1056"/>
      <c r="E97" s="402"/>
      <c r="I97" s="402"/>
      <c r="K97" s="402"/>
      <c r="M97" s="87"/>
    </row>
    <row r="98" spans="1:13" s="40" customFormat="1" x14ac:dyDescent="0.2">
      <c r="A98" s="144" t="s">
        <v>1639</v>
      </c>
      <c r="B98" s="145"/>
      <c r="C98" s="111"/>
      <c r="D98" s="118"/>
      <c r="E98" s="111"/>
      <c r="I98" s="111"/>
      <c r="K98" s="111"/>
      <c r="M98" s="63"/>
    </row>
    <row r="99" spans="1:13" s="40" customFormat="1" x14ac:dyDescent="0.2">
      <c r="A99" s="150" t="s">
        <v>1640</v>
      </c>
      <c r="B99" s="145"/>
      <c r="C99" s="392">
        <v>4629</v>
      </c>
      <c r="D99" s="118"/>
      <c r="E99" s="392">
        <v>4369</v>
      </c>
      <c r="G99" s="76">
        <v>4531</v>
      </c>
      <c r="I99" s="392">
        <v>4587</v>
      </c>
      <c r="K99" s="392">
        <v>4816</v>
      </c>
      <c r="M99" s="76"/>
    </row>
    <row r="100" spans="1:13" s="40" customFormat="1" x14ac:dyDescent="0.2">
      <c r="A100" s="1057" t="s">
        <v>1641</v>
      </c>
      <c r="B100" s="145"/>
      <c r="C100" s="392">
        <v>0</v>
      </c>
      <c r="D100" s="118"/>
      <c r="E100" s="392">
        <v>0</v>
      </c>
      <c r="G100" s="76"/>
      <c r="I100" s="392">
        <v>2</v>
      </c>
      <c r="K100" s="392">
        <v>0</v>
      </c>
      <c r="M100" s="76"/>
    </row>
    <row r="101" spans="1:13" s="40" customFormat="1" x14ac:dyDescent="0.2">
      <c r="A101" s="150" t="s">
        <v>1642</v>
      </c>
      <c r="B101" s="145"/>
      <c r="C101" s="392">
        <v>1796</v>
      </c>
      <c r="D101" s="902"/>
      <c r="E101" s="392">
        <v>1800</v>
      </c>
      <c r="G101" s="76">
        <v>1740</v>
      </c>
      <c r="I101" s="392">
        <v>2012</v>
      </c>
      <c r="K101" s="392">
        <v>2213</v>
      </c>
      <c r="M101" s="76"/>
    </row>
    <row r="102" spans="1:13" s="40" customFormat="1" x14ac:dyDescent="0.2">
      <c r="A102" s="144" t="s">
        <v>1643</v>
      </c>
      <c r="B102" s="145"/>
      <c r="C102" s="111"/>
      <c r="D102" s="118"/>
      <c r="E102" s="111"/>
      <c r="G102" s="63"/>
      <c r="I102" s="111"/>
      <c r="K102" s="111"/>
      <c r="M102" s="63"/>
    </row>
    <row r="103" spans="1:13" s="40" customFormat="1" x14ac:dyDescent="0.2">
      <c r="A103" s="150" t="s">
        <v>1640</v>
      </c>
      <c r="B103" s="145"/>
      <c r="C103" s="392">
        <v>126</v>
      </c>
      <c r="D103" s="902"/>
      <c r="E103" s="392">
        <v>120</v>
      </c>
      <c r="G103" s="76">
        <v>125</v>
      </c>
      <c r="I103" s="392">
        <v>150</v>
      </c>
      <c r="K103" s="392">
        <v>190</v>
      </c>
      <c r="M103" s="76"/>
    </row>
    <row r="104" spans="1:13" s="40" customFormat="1" x14ac:dyDescent="0.2">
      <c r="A104" s="150" t="s">
        <v>1641</v>
      </c>
      <c r="B104" s="145"/>
      <c r="C104" s="392">
        <v>2</v>
      </c>
      <c r="D104" s="118"/>
      <c r="E104" s="392">
        <v>1</v>
      </c>
      <c r="G104" s="76">
        <v>3</v>
      </c>
      <c r="I104" s="392">
        <v>1</v>
      </c>
      <c r="K104" s="392">
        <v>4</v>
      </c>
      <c r="M104" s="76"/>
    </row>
    <row r="105" spans="1:13" s="40" customFormat="1" x14ac:dyDescent="0.2">
      <c r="A105" s="150" t="s">
        <v>1644</v>
      </c>
      <c r="B105" s="145"/>
      <c r="C105" s="392">
        <v>9</v>
      </c>
      <c r="D105" s="118"/>
      <c r="E105" s="392">
        <v>7</v>
      </c>
      <c r="G105" s="76">
        <v>16</v>
      </c>
      <c r="I105" s="392">
        <v>20</v>
      </c>
      <c r="K105" s="392">
        <v>19</v>
      </c>
      <c r="M105" s="76"/>
    </row>
    <row r="106" spans="1:13" s="40" customFormat="1" x14ac:dyDescent="0.2">
      <c r="A106" s="144" t="s">
        <v>1645</v>
      </c>
      <c r="B106" s="145"/>
      <c r="C106" s="392">
        <v>423</v>
      </c>
      <c r="D106" s="118"/>
      <c r="E106" s="392">
        <v>431</v>
      </c>
      <c r="G106" s="76">
        <v>419</v>
      </c>
      <c r="I106" s="392">
        <v>425</v>
      </c>
      <c r="K106" s="392">
        <v>510</v>
      </c>
      <c r="M106" s="76"/>
    </row>
    <row r="107" spans="1:13" s="40" customFormat="1" x14ac:dyDescent="0.2">
      <c r="A107" s="144" t="s">
        <v>1646</v>
      </c>
      <c r="B107" s="145"/>
      <c r="C107" s="392">
        <v>5360</v>
      </c>
      <c r="D107" s="902"/>
      <c r="E107" s="392">
        <v>5308</v>
      </c>
      <c r="G107" s="76">
        <v>5540</v>
      </c>
      <c r="I107" s="392">
        <v>5565</v>
      </c>
      <c r="K107" s="392">
        <v>5840</v>
      </c>
      <c r="M107" s="76"/>
    </row>
    <row r="108" spans="1:13" s="40" customFormat="1" x14ac:dyDescent="0.2">
      <c r="A108" s="144" t="s">
        <v>1647</v>
      </c>
      <c r="B108" s="145"/>
      <c r="C108" s="392">
        <v>2928</v>
      </c>
      <c r="D108" s="118"/>
      <c r="E108" s="392">
        <v>2583</v>
      </c>
      <c r="G108" s="76">
        <v>2900</v>
      </c>
      <c r="I108" s="392">
        <v>2600</v>
      </c>
      <c r="K108" s="392">
        <v>3096</v>
      </c>
      <c r="M108" s="76"/>
    </row>
    <row r="109" spans="1:13" s="40" customFormat="1" x14ac:dyDescent="0.2">
      <c r="A109" s="144" t="s">
        <v>1648</v>
      </c>
      <c r="B109" s="145"/>
      <c r="C109" s="392">
        <v>1704</v>
      </c>
      <c r="D109" s="118"/>
      <c r="E109" s="392">
        <v>1355</v>
      </c>
      <c r="G109" s="76">
        <v>1750</v>
      </c>
      <c r="I109" s="392">
        <v>1400</v>
      </c>
      <c r="K109" s="392">
        <v>1696</v>
      </c>
      <c r="M109" s="76"/>
    </row>
    <row r="110" spans="1:13" s="40" customFormat="1" x14ac:dyDescent="0.2">
      <c r="A110" s="144" t="s">
        <v>1649</v>
      </c>
      <c r="B110" s="145"/>
      <c r="C110" s="392">
        <v>101339</v>
      </c>
      <c r="D110" s="902"/>
      <c r="E110" s="392">
        <v>71412</v>
      </c>
      <c r="G110" s="76">
        <v>99500</v>
      </c>
      <c r="I110" s="392">
        <v>73000</v>
      </c>
      <c r="K110" s="392">
        <v>75000</v>
      </c>
      <c r="M110" s="76"/>
    </row>
    <row r="111" spans="1:13" s="40" customFormat="1" x14ac:dyDescent="0.2">
      <c r="A111" s="1058" t="s">
        <v>1650</v>
      </c>
      <c r="B111" s="1059"/>
      <c r="C111" s="392">
        <v>25057</v>
      </c>
      <c r="D111" s="118"/>
      <c r="E111" s="392">
        <v>22700</v>
      </c>
      <c r="G111" s="76">
        <v>22700</v>
      </c>
      <c r="I111" s="392">
        <v>25900</v>
      </c>
      <c r="K111" s="392">
        <v>29120</v>
      </c>
      <c r="M111" s="76"/>
    </row>
    <row r="112" spans="1:13" s="40" customFormat="1" x14ac:dyDescent="0.2">
      <c r="A112" s="1058" t="s">
        <v>1651</v>
      </c>
      <c r="B112" s="1059"/>
      <c r="C112" s="1060">
        <v>2.59</v>
      </c>
      <c r="D112" s="902"/>
      <c r="E112" s="1060">
        <v>2.65</v>
      </c>
      <c r="G112" s="1061">
        <v>2.56</v>
      </c>
      <c r="I112" s="1060">
        <v>2.77</v>
      </c>
      <c r="K112" s="1060">
        <v>3.05</v>
      </c>
      <c r="M112" s="1061"/>
    </row>
    <row r="113" spans="1:15" s="40" customFormat="1" x14ac:dyDescent="0.2">
      <c r="A113" s="1058" t="s">
        <v>1652</v>
      </c>
      <c r="B113" s="1059"/>
      <c r="C113" s="392">
        <v>16683</v>
      </c>
      <c r="D113" s="118"/>
      <c r="E113" s="392">
        <v>16732</v>
      </c>
      <c r="G113" s="76">
        <v>16608</v>
      </c>
      <c r="I113" s="392">
        <v>16583</v>
      </c>
      <c r="K113" s="392">
        <v>18583</v>
      </c>
      <c r="M113" s="76"/>
    </row>
    <row r="114" spans="1:15" s="40" customFormat="1" x14ac:dyDescent="0.2">
      <c r="A114" s="1058" t="s">
        <v>1653</v>
      </c>
      <c r="B114" s="1059"/>
      <c r="C114" s="392">
        <v>1198</v>
      </c>
      <c r="D114" s="118"/>
      <c r="E114" s="392">
        <v>1040</v>
      </c>
      <c r="G114" s="76">
        <v>1044</v>
      </c>
      <c r="I114" s="392">
        <v>1160</v>
      </c>
      <c r="K114" s="392">
        <v>1285</v>
      </c>
      <c r="M114" s="76"/>
    </row>
    <row r="115" spans="1:15" s="40" customFormat="1" x14ac:dyDescent="0.2">
      <c r="A115" s="1058" t="s">
        <v>1654</v>
      </c>
      <c r="B115" s="1059"/>
      <c r="C115" s="111"/>
      <c r="D115" s="118"/>
      <c r="E115" s="111"/>
      <c r="G115" s="63"/>
      <c r="I115" s="111"/>
      <c r="K115" s="111"/>
      <c r="M115" s="76"/>
    </row>
    <row r="116" spans="1:15" s="40" customFormat="1" x14ac:dyDescent="0.2">
      <c r="A116" s="1057" t="s">
        <v>1655</v>
      </c>
      <c r="B116" s="1059"/>
      <c r="C116" s="392">
        <v>283</v>
      </c>
      <c r="D116" s="158"/>
      <c r="E116" s="392">
        <v>287</v>
      </c>
      <c r="G116" s="76">
        <v>275</v>
      </c>
      <c r="I116" s="392">
        <v>350</v>
      </c>
      <c r="K116" s="392">
        <v>575</v>
      </c>
      <c r="M116" s="78"/>
      <c r="N116" s="74"/>
      <c r="O116" s="74"/>
    </row>
    <row r="117" spans="1:15" s="40" customFormat="1" x14ac:dyDescent="0.2">
      <c r="A117" s="1057" t="s">
        <v>1656</v>
      </c>
      <c r="B117" s="1059"/>
      <c r="C117" s="392">
        <v>156</v>
      </c>
      <c r="D117" s="158"/>
      <c r="E117" s="392">
        <v>186</v>
      </c>
      <c r="G117" s="76">
        <v>167</v>
      </c>
      <c r="I117" s="392">
        <v>250</v>
      </c>
      <c r="K117" s="392">
        <v>250</v>
      </c>
      <c r="M117" s="78"/>
      <c r="N117" s="74"/>
      <c r="O117" s="74"/>
    </row>
    <row r="118" spans="1:15" s="40" customFormat="1" x14ac:dyDescent="0.2">
      <c r="A118" s="1057" t="s">
        <v>1657</v>
      </c>
      <c r="B118" s="1059"/>
      <c r="C118" s="392">
        <v>32</v>
      </c>
      <c r="D118" s="158"/>
      <c r="E118" s="392">
        <v>37</v>
      </c>
      <c r="G118" s="76">
        <v>30</v>
      </c>
      <c r="I118" s="392">
        <v>40</v>
      </c>
      <c r="K118" s="392">
        <v>40</v>
      </c>
      <c r="M118" s="78"/>
      <c r="N118" s="74"/>
      <c r="O118" s="74"/>
    </row>
    <row r="119" spans="1:15" s="40" customFormat="1" x14ac:dyDescent="0.2">
      <c r="A119" s="1057" t="s">
        <v>1658</v>
      </c>
      <c r="B119" s="1059"/>
      <c r="C119" s="392">
        <v>34</v>
      </c>
      <c r="D119" s="158"/>
      <c r="E119" s="392">
        <v>34</v>
      </c>
      <c r="G119" s="76">
        <v>48</v>
      </c>
      <c r="I119" s="392">
        <v>37</v>
      </c>
      <c r="K119" s="392">
        <v>37</v>
      </c>
      <c r="M119" s="78"/>
      <c r="N119" s="74"/>
      <c r="O119" s="74"/>
    </row>
    <row r="120" spans="1:15" s="40" customFormat="1" ht="25.5" x14ac:dyDescent="0.2">
      <c r="A120" s="1062" t="s">
        <v>1659</v>
      </c>
      <c r="B120" s="1059"/>
      <c r="C120" s="392">
        <v>28</v>
      </c>
      <c r="D120" s="158"/>
      <c r="E120" s="392">
        <v>28</v>
      </c>
      <c r="G120" s="76">
        <v>32</v>
      </c>
      <c r="I120" s="392">
        <v>50</v>
      </c>
      <c r="K120" s="392">
        <v>50</v>
      </c>
      <c r="M120" s="78"/>
      <c r="N120" s="74"/>
      <c r="O120" s="74"/>
    </row>
    <row r="121" spans="1:15" s="40" customFormat="1" ht="25.5" x14ac:dyDescent="0.2">
      <c r="A121" s="1062" t="s">
        <v>1660</v>
      </c>
      <c r="B121" s="1059"/>
      <c r="C121" s="392">
        <v>20</v>
      </c>
      <c r="D121" s="158"/>
      <c r="E121" s="392">
        <v>15</v>
      </c>
      <c r="G121" s="76">
        <v>14</v>
      </c>
      <c r="I121" s="392">
        <v>40</v>
      </c>
      <c r="K121" s="392">
        <v>40</v>
      </c>
      <c r="M121" s="78"/>
      <c r="N121" s="74"/>
      <c r="O121" s="74"/>
    </row>
    <row r="122" spans="1:15" s="37" customFormat="1" x14ac:dyDescent="0.2">
      <c r="A122" s="139" t="s">
        <v>263</v>
      </c>
      <c r="B122" s="140"/>
      <c r="C122" s="87"/>
      <c r="D122" s="73"/>
      <c r="E122" s="87"/>
      <c r="G122" s="87"/>
      <c r="I122" s="87"/>
      <c r="K122" s="87"/>
      <c r="M122" s="416"/>
      <c r="N122" s="73"/>
      <c r="O122" s="73"/>
    </row>
    <row r="123" spans="1:15" s="40" customFormat="1" x14ac:dyDescent="0.2">
      <c r="A123" s="144" t="s">
        <v>1661</v>
      </c>
      <c r="B123" s="145"/>
      <c r="C123" s="63"/>
      <c r="E123" s="63"/>
      <c r="G123" s="63"/>
      <c r="I123" s="63"/>
      <c r="K123" s="63"/>
      <c r="M123" s="63"/>
    </row>
    <row r="124" spans="1:15" s="40" customFormat="1" ht="14.25" x14ac:dyDescent="0.2">
      <c r="A124" s="150" t="s">
        <v>1662</v>
      </c>
      <c r="B124" s="145"/>
      <c r="C124" s="76">
        <v>200</v>
      </c>
      <c r="E124" s="76">
        <v>191</v>
      </c>
      <c r="G124" s="76">
        <v>200</v>
      </c>
      <c r="I124" s="76">
        <v>200</v>
      </c>
      <c r="K124" s="76">
        <v>200</v>
      </c>
      <c r="M124" s="76"/>
    </row>
    <row r="125" spans="1:15" s="40" customFormat="1" ht="14.25" x14ac:dyDescent="0.2">
      <c r="A125" s="150" t="s">
        <v>1663</v>
      </c>
      <c r="B125" s="145"/>
      <c r="C125" s="76">
        <v>134</v>
      </c>
      <c r="E125" s="76">
        <v>148</v>
      </c>
      <c r="G125" s="76">
        <v>130</v>
      </c>
      <c r="I125" s="76">
        <v>0</v>
      </c>
      <c r="K125" s="76">
        <v>130</v>
      </c>
      <c r="M125" s="76"/>
    </row>
    <row r="126" spans="1:15" s="40" customFormat="1" x14ac:dyDescent="0.2">
      <c r="A126" s="150" t="s">
        <v>1664</v>
      </c>
      <c r="B126" s="145"/>
      <c r="C126" s="76">
        <v>15000</v>
      </c>
      <c r="E126" s="76">
        <v>15000</v>
      </c>
      <c r="G126" s="76">
        <v>15000</v>
      </c>
      <c r="I126" s="76">
        <v>15000</v>
      </c>
      <c r="K126" s="76">
        <v>15000</v>
      </c>
      <c r="M126" s="76"/>
    </row>
    <row r="127" spans="1:15" s="40" customFormat="1" x14ac:dyDescent="0.2">
      <c r="A127" s="131"/>
      <c r="B127" s="39"/>
      <c r="C127" s="74"/>
      <c r="E127" s="74"/>
      <c r="I127" s="74"/>
      <c r="K127" s="74"/>
      <c r="M127" s="63"/>
    </row>
    <row r="128" spans="1:15" s="37" customFormat="1" x14ac:dyDescent="0.2">
      <c r="A128" s="35" t="s">
        <v>194</v>
      </c>
      <c r="B128" s="36"/>
      <c r="M128" s="87"/>
    </row>
    <row r="129" spans="1:14" s="37" customFormat="1" x14ac:dyDescent="0.2">
      <c r="A129" s="35" t="s">
        <v>195</v>
      </c>
      <c r="B129" s="36"/>
      <c r="M129" s="87"/>
    </row>
    <row r="130" spans="1:14" s="40" customFormat="1" x14ac:dyDescent="0.2">
      <c r="A130" s="38" t="s">
        <v>196</v>
      </c>
      <c r="B130" s="39"/>
      <c r="M130" s="63"/>
    </row>
    <row r="131" spans="1:14" s="40" customFormat="1" x14ac:dyDescent="0.2">
      <c r="A131" s="41" t="s">
        <v>197</v>
      </c>
      <c r="B131" s="39"/>
      <c r="C131" s="78">
        <v>3413</v>
      </c>
      <c r="E131" s="78">
        <v>3475</v>
      </c>
      <c r="G131" s="76">
        <v>3532</v>
      </c>
      <c r="I131" s="78">
        <v>3520</v>
      </c>
      <c r="K131" s="78">
        <v>3555</v>
      </c>
      <c r="M131" s="76"/>
    </row>
    <row r="132" spans="1:14" s="40" customFormat="1" x14ac:dyDescent="0.2">
      <c r="A132" s="41" t="s">
        <v>261</v>
      </c>
      <c r="B132" s="39"/>
      <c r="C132" s="78">
        <v>54</v>
      </c>
      <c r="E132" s="78">
        <v>56</v>
      </c>
      <c r="G132" s="76">
        <v>55</v>
      </c>
      <c r="I132" s="78">
        <v>53</v>
      </c>
      <c r="K132" s="78">
        <v>55</v>
      </c>
      <c r="M132" s="76"/>
    </row>
    <row r="133" spans="1:14" s="40" customFormat="1" x14ac:dyDescent="0.2">
      <c r="A133" s="41" t="s">
        <v>262</v>
      </c>
      <c r="B133" s="39"/>
      <c r="C133" s="78">
        <v>1109</v>
      </c>
      <c r="E133" s="78">
        <v>1103</v>
      </c>
      <c r="G133" s="76">
        <v>1102</v>
      </c>
      <c r="I133" s="78">
        <v>1108</v>
      </c>
      <c r="K133" s="78">
        <v>1120</v>
      </c>
      <c r="M133" s="76"/>
    </row>
    <row r="134" spans="1:14" s="40" customFormat="1" x14ac:dyDescent="0.2">
      <c r="A134" s="38" t="s">
        <v>198</v>
      </c>
      <c r="B134" s="39"/>
      <c r="C134" s="78">
        <f>SUM(C131:C133)</f>
        <v>4576</v>
      </c>
      <c r="E134" s="78">
        <f>SUM(E131:E133)</f>
        <v>4634</v>
      </c>
      <c r="G134" s="76">
        <f>SUM(G131:G133)</f>
        <v>4689</v>
      </c>
      <c r="I134" s="78">
        <f>SUM(I131:I133)</f>
        <v>4681</v>
      </c>
      <c r="K134" s="78">
        <f>SUM(K131:K133)</f>
        <v>4730</v>
      </c>
      <c r="M134" s="76"/>
    </row>
    <row r="135" spans="1:14" s="40" customFormat="1" x14ac:dyDescent="0.2">
      <c r="A135" s="38" t="s">
        <v>199</v>
      </c>
      <c r="B135" s="39"/>
      <c r="C135" s="74"/>
      <c r="E135" s="74"/>
      <c r="G135" s="63"/>
      <c r="I135" s="74"/>
      <c r="K135" s="74"/>
      <c r="M135" s="63"/>
    </row>
    <row r="136" spans="1:14" s="40" customFormat="1" x14ac:dyDescent="0.2">
      <c r="A136" s="41" t="s">
        <v>1552</v>
      </c>
      <c r="B136" s="39"/>
      <c r="C136" s="78">
        <v>3491</v>
      </c>
      <c r="E136" s="78">
        <v>3525</v>
      </c>
      <c r="G136" s="76">
        <v>3577</v>
      </c>
      <c r="I136" s="78">
        <v>3586</v>
      </c>
      <c r="K136" s="78">
        <v>3619</v>
      </c>
      <c r="M136" s="76"/>
    </row>
    <row r="137" spans="1:14" s="40" customFormat="1" x14ac:dyDescent="0.2">
      <c r="A137" s="41" t="s">
        <v>1612</v>
      </c>
      <c r="B137" s="39"/>
      <c r="C137" s="78">
        <v>512</v>
      </c>
      <c r="E137" s="78">
        <v>525</v>
      </c>
      <c r="G137" s="76">
        <v>522</v>
      </c>
      <c r="I137" s="78">
        <v>513</v>
      </c>
      <c r="K137" s="78">
        <v>528</v>
      </c>
      <c r="M137" s="76"/>
    </row>
    <row r="138" spans="1:14" s="40" customFormat="1" x14ac:dyDescent="0.2">
      <c r="A138" s="41" t="s">
        <v>1633</v>
      </c>
      <c r="B138" s="39"/>
      <c r="C138" s="78">
        <v>63</v>
      </c>
      <c r="E138" s="78">
        <v>66</v>
      </c>
      <c r="G138" s="76">
        <v>68</v>
      </c>
      <c r="I138" s="78">
        <v>63</v>
      </c>
      <c r="K138" s="78">
        <v>67</v>
      </c>
      <c r="M138" s="76"/>
    </row>
    <row r="139" spans="1:14" s="40" customFormat="1" x14ac:dyDescent="0.2">
      <c r="A139" s="41" t="s">
        <v>1665</v>
      </c>
      <c r="B139" s="39"/>
      <c r="C139" s="78">
        <v>229</v>
      </c>
      <c r="E139" s="78">
        <v>229</v>
      </c>
      <c r="G139" s="76">
        <v>229</v>
      </c>
      <c r="I139" s="78">
        <v>230</v>
      </c>
      <c r="K139" s="78">
        <v>230</v>
      </c>
      <c r="M139" s="76"/>
    </row>
    <row r="140" spans="1:14" s="40" customFormat="1" x14ac:dyDescent="0.2">
      <c r="A140" s="41" t="s">
        <v>263</v>
      </c>
      <c r="B140" s="39"/>
      <c r="C140" s="78">
        <v>281</v>
      </c>
      <c r="E140" s="78">
        <v>289</v>
      </c>
      <c r="G140" s="76">
        <v>293</v>
      </c>
      <c r="I140" s="78">
        <v>289</v>
      </c>
      <c r="K140" s="78">
        <v>286</v>
      </c>
      <c r="M140" s="76"/>
    </row>
    <row r="141" spans="1:14" s="40" customFormat="1" x14ac:dyDescent="0.2">
      <c r="A141" s="38" t="s">
        <v>198</v>
      </c>
      <c r="B141" s="39"/>
      <c r="C141" s="78">
        <f>SUM(C136:C140)</f>
        <v>4576</v>
      </c>
      <c r="E141" s="78">
        <f>SUM(E136:E140)</f>
        <v>4634</v>
      </c>
      <c r="G141" s="76">
        <f>SUM(G136:G140)</f>
        <v>4689</v>
      </c>
      <c r="I141" s="78">
        <f>SUM(I136:I140)</f>
        <v>4681</v>
      </c>
      <c r="K141" s="78">
        <f>SUM(K136:K140)</f>
        <v>4730</v>
      </c>
      <c r="M141" s="76"/>
    </row>
    <row r="142" spans="1:14" s="37" customFormat="1" x14ac:dyDescent="0.2">
      <c r="A142" s="35"/>
      <c r="B142" s="36"/>
      <c r="C142" s="73"/>
      <c r="G142" s="87"/>
      <c r="I142" s="87"/>
    </row>
    <row r="143" spans="1:14" s="48" customFormat="1" x14ac:dyDescent="0.2">
      <c r="A143" s="46"/>
      <c r="B143" s="47"/>
    </row>
    <row r="144" spans="1:14" s="48" customFormat="1" x14ac:dyDescent="0.2">
      <c r="A144" s="49" t="s">
        <v>200</v>
      </c>
      <c r="B144" s="50"/>
      <c r="C144" s="51"/>
      <c r="D144" s="52"/>
      <c r="E144" s="53"/>
      <c r="F144" s="52"/>
      <c r="G144" s="53"/>
      <c r="H144" s="52"/>
      <c r="I144" s="53"/>
      <c r="J144" s="52"/>
      <c r="K144" s="53"/>
      <c r="L144" s="52"/>
      <c r="M144" s="51"/>
      <c r="N144" s="52"/>
    </row>
    <row r="145" spans="1:21" s="48" customFormat="1" ht="30" customHeight="1" x14ac:dyDescent="0.2">
      <c r="A145" s="1804" t="s">
        <v>1666</v>
      </c>
      <c r="B145" s="1805"/>
      <c r="C145" s="1805"/>
      <c r="D145" s="1805"/>
      <c r="E145" s="1805"/>
      <c r="F145" s="1805"/>
      <c r="G145" s="1805"/>
      <c r="H145" s="1805"/>
      <c r="I145" s="1805"/>
      <c r="J145" s="1805"/>
      <c r="K145" s="1805"/>
      <c r="L145" s="1805"/>
      <c r="M145" s="1805"/>
      <c r="N145" s="463"/>
    </row>
    <row r="146" spans="1:21" ht="15.75" customHeight="1" x14ac:dyDescent="0.2">
      <c r="A146" s="1806" t="s">
        <v>1667</v>
      </c>
      <c r="B146" s="1807"/>
      <c r="C146" s="1807"/>
      <c r="D146" s="1807"/>
      <c r="E146" s="1807"/>
      <c r="F146" s="1807"/>
      <c r="G146" s="1807"/>
      <c r="H146" s="1807"/>
      <c r="I146" s="1807"/>
      <c r="J146" s="1807"/>
      <c r="K146" s="1807"/>
      <c r="L146" s="1063"/>
      <c r="M146" s="1063"/>
      <c r="N146" s="1063"/>
      <c r="U146" s="29" t="s">
        <v>352</v>
      </c>
    </row>
    <row r="147" spans="1:21" s="74" customFormat="1" ht="15" x14ac:dyDescent="0.25">
      <c r="A147" s="1808" t="s">
        <v>1668</v>
      </c>
      <c r="B147" s="1809"/>
      <c r="C147" s="1809"/>
      <c r="D147" s="1809"/>
      <c r="E147" s="1809"/>
      <c r="F147" s="1809"/>
      <c r="G147" s="1809"/>
      <c r="H147" s="1809"/>
      <c r="I147" s="1809"/>
      <c r="J147" s="1809"/>
      <c r="K147" s="1809"/>
      <c r="L147" s="1063"/>
      <c r="M147" s="1063"/>
      <c r="N147" s="1063"/>
    </row>
    <row r="148" spans="1:21" s="74" customFormat="1" ht="24" customHeight="1" x14ac:dyDescent="0.25">
      <c r="A148" s="1808" t="s">
        <v>1669</v>
      </c>
      <c r="B148" s="1809"/>
      <c r="C148" s="1809"/>
      <c r="D148" s="1809"/>
      <c r="E148" s="1809"/>
      <c r="F148" s="1809"/>
      <c r="G148" s="1809"/>
      <c r="H148" s="1809"/>
      <c r="I148" s="1809"/>
      <c r="J148" s="1809"/>
      <c r="K148" s="1809"/>
      <c r="L148" s="1063"/>
      <c r="M148" s="1063"/>
      <c r="N148" s="1063"/>
    </row>
    <row r="149" spans="1:21" ht="38.25" customHeight="1" x14ac:dyDescent="0.2">
      <c r="A149" s="1808" t="s">
        <v>1670</v>
      </c>
      <c r="B149" s="1810"/>
      <c r="C149" s="1810"/>
      <c r="D149" s="1810"/>
      <c r="E149" s="1810"/>
      <c r="F149" s="1810"/>
      <c r="G149" s="1810"/>
      <c r="H149" s="1810"/>
      <c r="I149" s="1810"/>
      <c r="J149" s="1810"/>
      <c r="K149" s="1810"/>
      <c r="L149" s="1810"/>
      <c r="M149" s="1810"/>
      <c r="N149" s="1810"/>
    </row>
  </sheetData>
  <mergeCells count="6">
    <mergeCell ref="A149:N149"/>
    <mergeCell ref="K2:K3"/>
    <mergeCell ref="A145:M145"/>
    <mergeCell ref="A146:K146"/>
    <mergeCell ref="A147:K147"/>
    <mergeCell ref="A148:K148"/>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97" fitToHeight="0" pageOrder="overThenDown" orientation="portrait" blackAndWhite="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1">
    <pageSetUpPr fitToPage="1"/>
  </sheetPr>
  <dimension ref="A1:Q13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0.28515625" style="60" hidden="1" customWidth="1"/>
    <col min="9" max="9" width="13.7109375" style="59" customWidth="1"/>
    <col min="10" max="10" width="3.140625" style="60" bestFit="1" customWidth="1"/>
    <col min="11" max="11" width="13.7109375" style="59" customWidth="1"/>
    <col min="12" max="12" width="2.85546875" style="60" customWidth="1"/>
    <col min="13" max="13" width="13.7109375" style="59" hidden="1" customWidth="1"/>
    <col min="14" max="14" width="6.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1549</v>
      </c>
      <c r="C3" s="10" t="s">
        <v>1550</v>
      </c>
      <c r="D3" s="6"/>
      <c r="E3" s="11"/>
      <c r="F3" s="9"/>
      <c r="G3" s="11"/>
      <c r="H3" s="6"/>
      <c r="I3" s="11"/>
      <c r="J3" s="6"/>
      <c r="K3" s="1734"/>
      <c r="L3" s="6"/>
      <c r="M3" s="11"/>
      <c r="N3" s="6"/>
    </row>
    <row r="4" spans="1:16" s="4" customFormat="1" ht="15.75" x14ac:dyDescent="0.25">
      <c r="A4" s="1" t="s">
        <v>180</v>
      </c>
      <c r="B4" s="10" t="s">
        <v>1671</v>
      </c>
      <c r="C4" s="10" t="s">
        <v>38</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ht="14.25" customHeight="1" x14ac:dyDescent="0.2">
      <c r="A10" s="35" t="s">
        <v>222</v>
      </c>
      <c r="B10" s="36"/>
    </row>
    <row r="11" spans="1:16" s="37" customFormat="1" ht="14.25" customHeight="1" x14ac:dyDescent="0.2">
      <c r="A11" s="35" t="s">
        <v>1672</v>
      </c>
      <c r="B11" s="36"/>
    </row>
    <row r="12" spans="1:16" s="40" customFormat="1" x14ac:dyDescent="0.2">
      <c r="A12" s="41" t="s">
        <v>1673</v>
      </c>
      <c r="B12" s="39"/>
      <c r="C12" s="1064">
        <v>630</v>
      </c>
      <c r="D12" s="1065"/>
      <c r="E12" s="242">
        <v>755</v>
      </c>
      <c r="G12" s="76">
        <v>670</v>
      </c>
      <c r="I12" s="76">
        <v>761</v>
      </c>
      <c r="K12" s="76">
        <v>765</v>
      </c>
      <c r="M12" s="76"/>
    </row>
    <row r="13" spans="1:16" s="40" customFormat="1" x14ac:dyDescent="0.2">
      <c r="A13" s="41" t="s">
        <v>1674</v>
      </c>
      <c r="B13" s="39"/>
      <c r="C13" s="1064">
        <v>622</v>
      </c>
      <c r="D13" s="1065"/>
      <c r="E13" s="242">
        <v>744</v>
      </c>
      <c r="G13" s="76">
        <v>650</v>
      </c>
      <c r="I13" s="76">
        <v>750</v>
      </c>
      <c r="K13" s="76">
        <v>752</v>
      </c>
      <c r="M13" s="76"/>
    </row>
    <row r="14" spans="1:16" s="40" customFormat="1" x14ac:dyDescent="0.2">
      <c r="A14" s="41"/>
      <c r="B14" s="39"/>
      <c r="C14" s="1064"/>
      <c r="D14" s="1064"/>
      <c r="K14" s="63"/>
      <c r="M14" s="901"/>
    </row>
    <row r="15" spans="1:16" s="37" customFormat="1" x14ac:dyDescent="0.2">
      <c r="A15" s="411" t="s">
        <v>1675</v>
      </c>
      <c r="B15" s="36"/>
      <c r="C15" s="1064"/>
      <c r="D15" s="1064"/>
      <c r="K15" s="87"/>
    </row>
    <row r="16" spans="1:16" s="40" customFormat="1" x14ac:dyDescent="0.2">
      <c r="A16" s="41" t="s">
        <v>1676</v>
      </c>
      <c r="B16" s="39"/>
      <c r="C16" s="1066">
        <f>SUM(C17:C20)</f>
        <v>32647</v>
      </c>
      <c r="D16" s="1067"/>
      <c r="E16" s="1066">
        <v>32749</v>
      </c>
      <c r="F16" s="76"/>
      <c r="G16" s="76">
        <v>33250</v>
      </c>
      <c r="I16" s="76">
        <v>33175</v>
      </c>
      <c r="K16" s="76">
        <v>32400</v>
      </c>
      <c r="M16" s="76"/>
    </row>
    <row r="17" spans="1:14" s="40" customFormat="1" x14ac:dyDescent="0.2">
      <c r="A17" s="90" t="s">
        <v>1677</v>
      </c>
      <c r="B17" s="39"/>
      <c r="C17" s="1066">
        <v>23821</v>
      </c>
      <c r="D17" s="1067"/>
      <c r="E17" s="1066">
        <v>23971</v>
      </c>
      <c r="F17" s="76"/>
      <c r="G17" s="76">
        <v>24500</v>
      </c>
      <c r="I17" s="76">
        <v>24500</v>
      </c>
      <c r="K17" s="76">
        <v>23750</v>
      </c>
      <c r="M17" s="76"/>
    </row>
    <row r="18" spans="1:14" s="40" customFormat="1" x14ac:dyDescent="0.2">
      <c r="A18" s="90" t="s">
        <v>1678</v>
      </c>
      <c r="B18" s="39"/>
      <c r="C18" s="1066">
        <v>6320</v>
      </c>
      <c r="D18" s="1067"/>
      <c r="E18" s="1066">
        <v>6294</v>
      </c>
      <c r="F18" s="76"/>
      <c r="G18" s="76">
        <v>6200</v>
      </c>
      <c r="I18" s="76">
        <v>6200</v>
      </c>
      <c r="K18" s="76">
        <v>6200</v>
      </c>
      <c r="M18" s="76"/>
    </row>
    <row r="19" spans="1:14" s="40" customFormat="1" x14ac:dyDescent="0.2">
      <c r="A19" s="90" t="s">
        <v>1679</v>
      </c>
      <c r="B19" s="39"/>
      <c r="C19" s="1066">
        <v>75</v>
      </c>
      <c r="D19" s="1067"/>
      <c r="E19" s="1066">
        <v>88</v>
      </c>
      <c r="F19" s="76"/>
      <c r="G19" s="76">
        <v>50</v>
      </c>
      <c r="I19" s="76">
        <v>75</v>
      </c>
      <c r="K19" s="76">
        <v>50</v>
      </c>
      <c r="M19" s="76"/>
    </row>
    <row r="20" spans="1:14" s="40" customFormat="1" x14ac:dyDescent="0.2">
      <c r="A20" s="90" t="s">
        <v>1680</v>
      </c>
      <c r="B20" s="39"/>
      <c r="C20" s="1066">
        <v>2431</v>
      </c>
      <c r="D20" s="1067"/>
      <c r="E20" s="1066">
        <v>2396</v>
      </c>
      <c r="F20" s="76"/>
      <c r="G20" s="76">
        <v>2500</v>
      </c>
      <c r="I20" s="76">
        <v>2400</v>
      </c>
      <c r="K20" s="76">
        <v>2400</v>
      </c>
      <c r="M20" s="76"/>
    </row>
    <row r="21" spans="1:14" s="40" customFormat="1" x14ac:dyDescent="0.2">
      <c r="A21" s="41" t="s">
        <v>1553</v>
      </c>
      <c r="B21" s="39"/>
      <c r="C21" s="1066">
        <v>27</v>
      </c>
      <c r="D21" s="1067"/>
      <c r="E21" s="1066">
        <v>38</v>
      </c>
      <c r="F21" s="76"/>
      <c r="G21" s="76">
        <v>45</v>
      </c>
      <c r="I21" s="76">
        <v>40</v>
      </c>
      <c r="K21" s="76">
        <v>40</v>
      </c>
      <c r="M21" s="76"/>
    </row>
    <row r="22" spans="1:14" s="40" customFormat="1" x14ac:dyDescent="0.2">
      <c r="A22" s="41" t="s">
        <v>1681</v>
      </c>
      <c r="B22" s="39"/>
      <c r="C22" s="1066">
        <v>141</v>
      </c>
      <c r="D22" s="1067"/>
      <c r="E22" s="1066">
        <v>134</v>
      </c>
      <c r="F22" s="76"/>
      <c r="G22" s="76">
        <v>95</v>
      </c>
      <c r="I22" s="76">
        <v>95</v>
      </c>
      <c r="K22" s="76">
        <v>95</v>
      </c>
      <c r="M22" s="76"/>
    </row>
    <row r="23" spans="1:14" s="40" customFormat="1" x14ac:dyDescent="0.2">
      <c r="A23" s="41" t="s">
        <v>1682</v>
      </c>
      <c r="B23" s="39"/>
      <c r="C23" s="1066">
        <v>9725</v>
      </c>
      <c r="D23" s="1067"/>
      <c r="E23" s="1066">
        <v>11538</v>
      </c>
      <c r="F23" s="76"/>
      <c r="G23" s="76">
        <v>10300</v>
      </c>
      <c r="I23" s="76">
        <v>10300</v>
      </c>
      <c r="K23" s="76">
        <v>10300</v>
      </c>
      <c r="M23" s="76"/>
    </row>
    <row r="24" spans="1:14" s="40" customFormat="1" x14ac:dyDescent="0.2">
      <c r="A24" s="41"/>
      <c r="B24" s="39"/>
      <c r="C24" s="1064"/>
      <c r="D24" s="1064"/>
      <c r="K24" s="63"/>
      <c r="M24" s="76"/>
    </row>
    <row r="25" spans="1:14" s="40" customFormat="1" x14ac:dyDescent="0.2">
      <c r="A25" s="35" t="s">
        <v>1683</v>
      </c>
      <c r="B25" s="39"/>
      <c r="C25" s="1064"/>
      <c r="D25" s="1064"/>
      <c r="K25" s="63"/>
      <c r="M25" s="87"/>
    </row>
    <row r="26" spans="1:14" s="40" customFormat="1" x14ac:dyDescent="0.2">
      <c r="A26" s="41" t="s">
        <v>1684</v>
      </c>
      <c r="B26" s="39"/>
      <c r="C26" s="1064"/>
      <c r="D26" s="1064"/>
      <c r="K26" s="63"/>
      <c r="M26" s="87"/>
    </row>
    <row r="27" spans="1:14" s="40" customFormat="1" x14ac:dyDescent="0.2">
      <c r="A27" s="90" t="s">
        <v>596</v>
      </c>
      <c r="B27" s="39"/>
      <c r="C27" s="1064">
        <v>2</v>
      </c>
      <c r="D27" s="1064"/>
      <c r="E27" s="1064">
        <v>2</v>
      </c>
      <c r="F27" s="77"/>
      <c r="G27" s="76">
        <v>2</v>
      </c>
      <c r="I27" s="76">
        <v>2</v>
      </c>
      <c r="K27" s="76">
        <v>2</v>
      </c>
      <c r="M27" s="76"/>
    </row>
    <row r="28" spans="1:14" s="40" customFormat="1" x14ac:dyDescent="0.2">
      <c r="A28" s="90" t="s">
        <v>1553</v>
      </c>
      <c r="B28" s="39"/>
      <c r="C28" s="1064">
        <v>1700</v>
      </c>
      <c r="D28" s="1064"/>
      <c r="E28" s="1064">
        <v>1700</v>
      </c>
      <c r="F28" s="77"/>
      <c r="G28" s="76">
        <v>1700</v>
      </c>
      <c r="I28" s="76">
        <v>1700</v>
      </c>
      <c r="K28" s="76">
        <v>1700</v>
      </c>
      <c r="M28" s="76"/>
    </row>
    <row r="29" spans="1:14" s="40" customFormat="1" x14ac:dyDescent="0.2">
      <c r="A29" s="90" t="s">
        <v>1685</v>
      </c>
      <c r="B29" s="39"/>
      <c r="C29" s="1064">
        <v>1650</v>
      </c>
      <c r="D29" s="1064"/>
      <c r="E29" s="1064">
        <v>1700</v>
      </c>
      <c r="F29" s="77"/>
      <c r="G29" s="76">
        <v>1700</v>
      </c>
      <c r="I29" s="76">
        <v>1580</v>
      </c>
      <c r="K29" s="76">
        <v>1600</v>
      </c>
      <c r="M29" s="76"/>
    </row>
    <row r="30" spans="1:14" s="40" customFormat="1" ht="15" x14ac:dyDescent="0.25">
      <c r="A30" s="1068"/>
      <c r="B30" s="39"/>
      <c r="C30" s="1064"/>
      <c r="D30" s="1064"/>
      <c r="K30" s="63"/>
      <c r="M30" s="76"/>
    </row>
    <row r="31" spans="1:14" s="40" customFormat="1" x14ac:dyDescent="0.2">
      <c r="A31" s="35" t="s">
        <v>1686</v>
      </c>
      <c r="B31" s="39"/>
      <c r="C31" s="1064"/>
      <c r="D31" s="1064"/>
      <c r="K31" s="63"/>
      <c r="M31" s="76"/>
    </row>
    <row r="32" spans="1:14" s="40" customFormat="1" x14ac:dyDescent="0.2">
      <c r="A32" s="41" t="s">
        <v>1687</v>
      </c>
      <c r="B32" s="39"/>
      <c r="C32" s="1064">
        <v>154644</v>
      </c>
      <c r="D32" s="1064"/>
      <c r="E32" s="1064">
        <v>155942</v>
      </c>
      <c r="G32" s="1064">
        <v>154644</v>
      </c>
      <c r="I32" s="1064">
        <v>155942</v>
      </c>
      <c r="K32" s="76">
        <v>155942</v>
      </c>
      <c r="M32" s="76"/>
      <c r="N32" s="78"/>
    </row>
    <row r="33" spans="1:14" s="40" customFormat="1" x14ac:dyDescent="0.2">
      <c r="A33" s="90" t="s">
        <v>1688</v>
      </c>
      <c r="B33" s="39"/>
      <c r="C33" s="1064">
        <v>1224</v>
      </c>
      <c r="D33" s="1064"/>
      <c r="E33" s="1064">
        <v>1325</v>
      </c>
      <c r="G33" s="1064">
        <v>1224</v>
      </c>
      <c r="I33" s="1064">
        <v>1325</v>
      </c>
      <c r="K33" s="76">
        <v>1325</v>
      </c>
      <c r="M33" s="76"/>
    </row>
    <row r="34" spans="1:14" s="40" customFormat="1" x14ac:dyDescent="0.2">
      <c r="A34" s="90" t="s">
        <v>1689</v>
      </c>
      <c r="B34" s="39"/>
      <c r="C34" s="1064">
        <v>55261</v>
      </c>
      <c r="D34" s="1069"/>
      <c r="E34" s="1064">
        <v>56011</v>
      </c>
      <c r="G34" s="1064">
        <v>55261</v>
      </c>
      <c r="I34" s="1064">
        <v>56011</v>
      </c>
      <c r="K34" s="76">
        <v>56011</v>
      </c>
      <c r="M34" s="76"/>
    </row>
    <row r="35" spans="1:14" s="40" customFormat="1" x14ac:dyDescent="0.2">
      <c r="A35" s="90" t="s">
        <v>1690</v>
      </c>
      <c r="B35" s="39"/>
      <c r="C35" s="1064">
        <v>560</v>
      </c>
      <c r="D35" s="1064"/>
      <c r="E35" s="1064">
        <v>555</v>
      </c>
      <c r="G35" s="1064">
        <v>560</v>
      </c>
      <c r="I35" s="1064">
        <v>555</v>
      </c>
      <c r="K35" s="76">
        <v>555</v>
      </c>
      <c r="M35" s="76"/>
    </row>
    <row r="36" spans="1:14" s="40" customFormat="1" x14ac:dyDescent="0.2">
      <c r="A36" s="90" t="s">
        <v>1691</v>
      </c>
      <c r="B36" s="39"/>
      <c r="C36" s="1064">
        <v>97599</v>
      </c>
      <c r="D36" s="1065"/>
      <c r="E36" s="1064">
        <v>98051</v>
      </c>
      <c r="G36" s="1064">
        <v>97599</v>
      </c>
      <c r="I36" s="1064">
        <v>98051</v>
      </c>
      <c r="K36" s="76">
        <v>98051</v>
      </c>
      <c r="M36" s="76"/>
    </row>
    <row r="37" spans="1:14" s="40" customFormat="1" ht="12.75" hidden="1" customHeight="1" x14ac:dyDescent="0.2">
      <c r="A37" s="41" t="s">
        <v>1692</v>
      </c>
      <c r="B37" s="39"/>
      <c r="C37" s="407">
        <v>624</v>
      </c>
      <c r="D37" s="1064"/>
      <c r="E37" s="407">
        <v>487</v>
      </c>
      <c r="G37" s="407">
        <v>624</v>
      </c>
      <c r="I37" s="407"/>
      <c r="K37" s="63"/>
      <c r="M37" s="1070"/>
      <c r="N37" s="78"/>
    </row>
    <row r="38" spans="1:14" s="40" customFormat="1" x14ac:dyDescent="0.2">
      <c r="A38" s="41" t="s">
        <v>1693</v>
      </c>
      <c r="B38" s="39"/>
      <c r="C38" s="407">
        <v>624</v>
      </c>
      <c r="D38" s="1065"/>
      <c r="E38" s="407">
        <v>769</v>
      </c>
      <c r="F38" s="40" t="s">
        <v>737</v>
      </c>
      <c r="G38" s="407">
        <v>624</v>
      </c>
      <c r="I38" s="407">
        <v>769</v>
      </c>
      <c r="K38" s="76">
        <v>769</v>
      </c>
      <c r="M38" s="76"/>
      <c r="N38" s="78"/>
    </row>
    <row r="39" spans="1:14" s="40" customFormat="1" x14ac:dyDescent="0.2">
      <c r="A39" s="41" t="s">
        <v>1694</v>
      </c>
      <c r="B39" s="39"/>
      <c r="C39" s="407">
        <v>356</v>
      </c>
      <c r="D39" s="1064"/>
      <c r="E39" s="407">
        <v>307</v>
      </c>
      <c r="G39" s="407">
        <v>356</v>
      </c>
      <c r="I39" s="407">
        <v>307</v>
      </c>
      <c r="K39" s="76">
        <v>307</v>
      </c>
      <c r="M39" s="76"/>
      <c r="N39" s="78"/>
    </row>
    <row r="40" spans="1:14" s="40" customFormat="1" x14ac:dyDescent="0.2">
      <c r="A40" s="41" t="s">
        <v>1695</v>
      </c>
      <c r="B40" s="39"/>
      <c r="C40" s="407">
        <v>895</v>
      </c>
      <c r="D40" s="1064"/>
      <c r="E40" s="407">
        <v>1013</v>
      </c>
      <c r="G40" s="407">
        <v>895</v>
      </c>
      <c r="I40" s="407">
        <v>1013</v>
      </c>
      <c r="K40" s="76">
        <v>1013</v>
      </c>
      <c r="M40" s="76"/>
      <c r="N40" s="78"/>
    </row>
    <row r="41" spans="1:14" s="40" customFormat="1" x14ac:dyDescent="0.2">
      <c r="A41" s="41" t="s">
        <v>1696</v>
      </c>
      <c r="B41" s="39"/>
      <c r="C41" s="407">
        <v>209</v>
      </c>
      <c r="D41" s="1064"/>
      <c r="E41" s="76">
        <v>199</v>
      </c>
      <c r="G41" s="407">
        <v>209</v>
      </c>
      <c r="I41" s="407">
        <v>199</v>
      </c>
      <c r="K41" s="76">
        <v>199</v>
      </c>
      <c r="M41" s="76"/>
      <c r="N41" s="78"/>
    </row>
    <row r="42" spans="1:14" s="40" customFormat="1" x14ac:dyDescent="0.2">
      <c r="A42" s="41"/>
      <c r="B42" s="39"/>
      <c r="C42" s="1064"/>
      <c r="D42" s="1064"/>
      <c r="K42" s="63"/>
      <c r="M42" s="76"/>
      <c r="N42" s="78"/>
    </row>
    <row r="43" spans="1:14" s="40" customFormat="1" x14ac:dyDescent="0.2">
      <c r="A43" s="35" t="s">
        <v>1697</v>
      </c>
      <c r="B43" s="39"/>
      <c r="C43" s="1064"/>
      <c r="D43" s="1064"/>
      <c r="K43" s="63"/>
      <c r="M43" s="76"/>
    </row>
    <row r="44" spans="1:14" s="40" customFormat="1" x14ac:dyDescent="0.2">
      <c r="A44" s="41" t="s">
        <v>1698</v>
      </c>
      <c r="B44" s="39"/>
      <c r="C44" s="1064">
        <v>270</v>
      </c>
      <c r="D44" s="1064"/>
      <c r="E44" s="242">
        <v>244</v>
      </c>
      <c r="G44" s="78">
        <v>265</v>
      </c>
      <c r="I44" s="78">
        <v>240</v>
      </c>
      <c r="K44" s="76">
        <v>240</v>
      </c>
      <c r="M44" s="76"/>
    </row>
    <row r="45" spans="1:14" s="40" customFormat="1" x14ac:dyDescent="0.2">
      <c r="A45" s="41" t="s">
        <v>272</v>
      </c>
      <c r="B45" s="39"/>
      <c r="C45" s="1064">
        <v>9319</v>
      </c>
      <c r="D45" s="1064"/>
      <c r="E45" s="242">
        <v>8931</v>
      </c>
      <c r="G45" s="78">
        <v>9500</v>
      </c>
      <c r="I45" s="78">
        <v>9000</v>
      </c>
      <c r="K45" s="76">
        <v>9000</v>
      </c>
      <c r="M45" s="76"/>
    </row>
    <row r="46" spans="1:14" s="40" customFormat="1" x14ac:dyDescent="0.2">
      <c r="A46" s="41" t="s">
        <v>1699</v>
      </c>
      <c r="B46" s="39"/>
      <c r="C46" s="1064">
        <v>2300</v>
      </c>
      <c r="D46" s="1064"/>
      <c r="E46" s="242">
        <v>1926</v>
      </c>
      <c r="G46" s="78">
        <v>2300</v>
      </c>
      <c r="I46" s="78">
        <v>2000</v>
      </c>
      <c r="K46" s="76">
        <v>2000</v>
      </c>
      <c r="M46" s="76"/>
    </row>
    <row r="47" spans="1:14" s="40" customFormat="1" x14ac:dyDescent="0.2">
      <c r="A47" s="41" t="s">
        <v>1700</v>
      </c>
      <c r="B47" s="39"/>
      <c r="C47" s="1071">
        <v>13448</v>
      </c>
      <c r="D47" s="1064"/>
      <c r="E47" s="267">
        <v>13267</v>
      </c>
      <c r="G47" s="78">
        <v>13000</v>
      </c>
      <c r="I47" s="78">
        <v>13000</v>
      </c>
      <c r="K47" s="76">
        <v>13000</v>
      </c>
      <c r="M47" s="76"/>
    </row>
    <row r="48" spans="1:14" s="40" customFormat="1" x14ac:dyDescent="0.2">
      <c r="A48" s="41" t="s">
        <v>1701</v>
      </c>
      <c r="B48" s="39"/>
      <c r="C48" s="1071">
        <v>37768</v>
      </c>
      <c r="D48" s="1064"/>
      <c r="E48" s="267">
        <v>37012</v>
      </c>
      <c r="G48" s="78">
        <v>37000</v>
      </c>
      <c r="I48" s="78">
        <v>37000</v>
      </c>
      <c r="K48" s="76">
        <v>37000</v>
      </c>
      <c r="M48" s="76"/>
    </row>
    <row r="49" spans="1:15" s="40" customFormat="1" x14ac:dyDescent="0.2">
      <c r="A49" s="41" t="s">
        <v>1702</v>
      </c>
      <c r="B49" s="39"/>
      <c r="C49" s="1064">
        <v>550</v>
      </c>
      <c r="D49" s="1064"/>
      <c r="E49" s="242">
        <v>2272</v>
      </c>
      <c r="F49" s="40" t="s">
        <v>1703</v>
      </c>
      <c r="G49" s="78">
        <v>500</v>
      </c>
      <c r="I49" s="78">
        <v>2300</v>
      </c>
      <c r="K49" s="76">
        <v>2300</v>
      </c>
      <c r="M49" s="76"/>
    </row>
    <row r="50" spans="1:15" s="40" customFormat="1" x14ac:dyDescent="0.2">
      <c r="A50" s="41" t="s">
        <v>1704</v>
      </c>
      <c r="B50" s="39"/>
      <c r="C50" s="1064">
        <v>103728</v>
      </c>
      <c r="D50" s="1065"/>
      <c r="E50" s="242">
        <v>107348</v>
      </c>
      <c r="G50" s="78">
        <v>26500</v>
      </c>
      <c r="I50" s="78">
        <v>108000</v>
      </c>
      <c r="K50" s="76">
        <v>108000</v>
      </c>
      <c r="M50" s="76"/>
    </row>
    <row r="51" spans="1:15" s="40" customFormat="1" x14ac:dyDescent="0.2">
      <c r="A51" s="41" t="s">
        <v>1705</v>
      </c>
      <c r="B51" s="39"/>
      <c r="C51" s="1064">
        <v>357</v>
      </c>
      <c r="D51" s="1064"/>
      <c r="E51" s="242">
        <v>271</v>
      </c>
      <c r="G51" s="78">
        <v>350</v>
      </c>
      <c r="I51" s="78">
        <v>270</v>
      </c>
      <c r="K51" s="76">
        <v>270</v>
      </c>
      <c r="M51" s="76"/>
    </row>
    <row r="52" spans="1:15" s="40" customFormat="1" x14ac:dyDescent="0.2">
      <c r="A52" s="41"/>
      <c r="B52" s="39"/>
      <c r="C52" s="1064"/>
      <c r="D52" s="1064"/>
      <c r="K52" s="63"/>
      <c r="M52" s="901"/>
    </row>
    <row r="53" spans="1:15" s="40" customFormat="1" x14ac:dyDescent="0.2">
      <c r="A53" s="35" t="s">
        <v>1706</v>
      </c>
      <c r="B53" s="39"/>
      <c r="C53" s="1064"/>
      <c r="D53" s="1064"/>
      <c r="E53" s="77"/>
      <c r="K53" s="63"/>
      <c r="M53" s="88"/>
    </row>
    <row r="54" spans="1:15" s="40" customFormat="1" x14ac:dyDescent="0.2">
      <c r="A54" s="41" t="s">
        <v>1707</v>
      </c>
      <c r="B54" s="39"/>
      <c r="C54" s="1064">
        <v>25</v>
      </c>
      <c r="D54" s="1064"/>
      <c r="E54" s="242">
        <v>24</v>
      </c>
      <c r="G54" s="242">
        <v>29</v>
      </c>
      <c r="I54" s="242">
        <v>27</v>
      </c>
      <c r="K54" s="76">
        <v>29</v>
      </c>
      <c r="M54" s="76"/>
      <c r="N54" s="37"/>
      <c r="O54" s="37"/>
    </row>
    <row r="55" spans="1:15" s="40" customFormat="1" x14ac:dyDescent="0.2">
      <c r="A55" s="90" t="s">
        <v>1708</v>
      </c>
      <c r="B55" s="39"/>
      <c r="C55" s="1064">
        <v>13</v>
      </c>
      <c r="D55" s="1064"/>
      <c r="E55" s="242">
        <v>14</v>
      </c>
      <c r="G55" s="242">
        <v>17</v>
      </c>
      <c r="I55" s="242">
        <v>15</v>
      </c>
      <c r="K55" s="76">
        <v>17</v>
      </c>
      <c r="M55" s="76"/>
    </row>
    <row r="56" spans="1:15" s="40" customFormat="1" x14ac:dyDescent="0.2">
      <c r="A56" s="90" t="s">
        <v>1709</v>
      </c>
      <c r="B56" s="39"/>
      <c r="C56" s="1064">
        <v>12</v>
      </c>
      <c r="D56" s="1064"/>
      <c r="E56" s="242">
        <v>10</v>
      </c>
      <c r="G56" s="242">
        <v>12</v>
      </c>
      <c r="I56" s="242">
        <v>12</v>
      </c>
      <c r="K56" s="76">
        <v>12</v>
      </c>
      <c r="M56" s="76"/>
    </row>
    <row r="57" spans="1:15" s="40" customFormat="1" x14ac:dyDescent="0.2">
      <c r="A57" s="41" t="s">
        <v>1710</v>
      </c>
      <c r="B57" s="39"/>
      <c r="C57" s="1064">
        <v>1877</v>
      </c>
      <c r="D57" s="1064"/>
      <c r="E57" s="242">
        <v>1378</v>
      </c>
      <c r="F57" s="40" t="s">
        <v>1711</v>
      </c>
      <c r="G57" s="242">
        <v>2000</v>
      </c>
      <c r="I57" s="242">
        <v>1430</v>
      </c>
      <c r="K57" s="76">
        <v>1900</v>
      </c>
      <c r="L57" s="40" t="s">
        <v>1712</v>
      </c>
      <c r="M57" s="76"/>
    </row>
    <row r="58" spans="1:15" s="40" customFormat="1" x14ac:dyDescent="0.2">
      <c r="A58" s="90" t="s">
        <v>1713</v>
      </c>
      <c r="B58" s="39"/>
      <c r="C58" s="1064">
        <v>300</v>
      </c>
      <c r="D58" s="1064"/>
      <c r="E58" s="1067">
        <v>221</v>
      </c>
      <c r="G58" s="1067">
        <v>400</v>
      </c>
      <c r="I58" s="1067">
        <v>230</v>
      </c>
      <c r="K58" s="76">
        <v>300</v>
      </c>
      <c r="M58" s="76"/>
    </row>
    <row r="59" spans="1:15" s="40" customFormat="1" x14ac:dyDescent="0.2">
      <c r="A59" s="90" t="s">
        <v>1714</v>
      </c>
      <c r="B59" s="39"/>
      <c r="C59" s="1064">
        <v>1577</v>
      </c>
      <c r="D59" s="1065"/>
      <c r="E59" s="1064">
        <v>1157</v>
      </c>
      <c r="F59" s="40" t="s">
        <v>1711</v>
      </c>
      <c r="G59" s="1064">
        <v>1600</v>
      </c>
      <c r="I59" s="1064">
        <v>1200</v>
      </c>
      <c r="K59" s="76">
        <v>1600</v>
      </c>
      <c r="L59" s="40" t="s">
        <v>1712</v>
      </c>
      <c r="M59" s="76"/>
    </row>
    <row r="60" spans="1:15" s="40" customFormat="1" x14ac:dyDescent="0.2">
      <c r="A60" s="41" t="s">
        <v>1715</v>
      </c>
      <c r="B60" s="39"/>
      <c r="C60" s="1064">
        <v>56</v>
      </c>
      <c r="D60" s="1064"/>
      <c r="E60" s="1064">
        <v>115</v>
      </c>
      <c r="F60" s="40" t="s">
        <v>1716</v>
      </c>
      <c r="G60" s="1064">
        <v>65</v>
      </c>
      <c r="I60" s="1064">
        <v>115</v>
      </c>
      <c r="K60" s="76">
        <v>115</v>
      </c>
      <c r="M60" s="76"/>
    </row>
    <row r="61" spans="1:15" s="40" customFormat="1" x14ac:dyDescent="0.2">
      <c r="A61" s="41" t="s">
        <v>1717</v>
      </c>
      <c r="B61" s="39"/>
      <c r="C61" s="1064">
        <v>17</v>
      </c>
      <c r="D61" s="1064"/>
      <c r="E61" s="1064">
        <v>12</v>
      </c>
      <c r="G61" s="1064">
        <v>16</v>
      </c>
      <c r="I61" s="1064">
        <v>12</v>
      </c>
      <c r="K61" s="76">
        <v>12</v>
      </c>
      <c r="M61" s="76"/>
    </row>
    <row r="62" spans="1:15" s="40" customFormat="1" x14ac:dyDescent="0.2">
      <c r="A62" s="90"/>
      <c r="B62" s="39"/>
      <c r="C62" s="1064"/>
      <c r="D62" s="1064"/>
      <c r="K62" s="63"/>
      <c r="M62" s="76"/>
    </row>
    <row r="63" spans="1:15" s="40" customFormat="1" x14ac:dyDescent="0.2">
      <c r="A63" s="35" t="s">
        <v>194</v>
      </c>
      <c r="B63" s="39"/>
      <c r="C63" s="1064"/>
      <c r="D63" s="1064"/>
      <c r="K63" s="63"/>
      <c r="M63" s="37"/>
    </row>
    <row r="64" spans="1:15" s="40" customFormat="1" x14ac:dyDescent="0.2">
      <c r="A64" s="35" t="s">
        <v>195</v>
      </c>
      <c r="B64" s="39"/>
      <c r="C64" s="1064"/>
      <c r="D64" s="1064"/>
      <c r="K64" s="63"/>
    </row>
    <row r="65" spans="1:15" s="40" customFormat="1" x14ac:dyDescent="0.2">
      <c r="A65" s="38" t="s">
        <v>196</v>
      </c>
      <c r="B65" s="39"/>
      <c r="C65" s="1064"/>
      <c r="D65" s="1064"/>
      <c r="K65" s="63"/>
      <c r="M65" s="76"/>
      <c r="N65" s="37"/>
      <c r="O65" s="37"/>
    </row>
    <row r="66" spans="1:15" s="40" customFormat="1" x14ac:dyDescent="0.2">
      <c r="A66" s="41" t="s">
        <v>197</v>
      </c>
      <c r="B66" s="39"/>
      <c r="C66" s="1067">
        <v>74</v>
      </c>
      <c r="D66" s="1067"/>
      <c r="E66" s="1072">
        <v>75</v>
      </c>
      <c r="F66" s="76"/>
      <c r="G66" s="76">
        <v>81</v>
      </c>
      <c r="I66" s="76">
        <v>76</v>
      </c>
      <c r="K66" s="76">
        <v>74</v>
      </c>
      <c r="M66" s="76"/>
    </row>
    <row r="67" spans="1:15" s="40" customFormat="1" x14ac:dyDescent="0.2">
      <c r="A67" s="41" t="s">
        <v>261</v>
      </c>
      <c r="B67" s="39"/>
      <c r="C67" s="1067">
        <v>13</v>
      </c>
      <c r="D67" s="1067"/>
      <c r="E67" s="1072">
        <v>13</v>
      </c>
      <c r="F67" s="76"/>
      <c r="G67" s="76">
        <v>13</v>
      </c>
      <c r="I67" s="76">
        <v>13</v>
      </c>
      <c r="K67" s="76">
        <v>13</v>
      </c>
      <c r="M67" s="76"/>
    </row>
    <row r="68" spans="1:15" s="40" customFormat="1" x14ac:dyDescent="0.2">
      <c r="A68" s="41" t="s">
        <v>262</v>
      </c>
      <c r="B68" s="39"/>
      <c r="C68" s="1067">
        <v>89</v>
      </c>
      <c r="D68" s="1067"/>
      <c r="E68" s="1072">
        <v>91</v>
      </c>
      <c r="F68" s="76"/>
      <c r="G68" s="76">
        <v>96</v>
      </c>
      <c r="I68" s="76">
        <v>88</v>
      </c>
      <c r="K68" s="76">
        <v>91</v>
      </c>
      <c r="M68" s="76"/>
    </row>
    <row r="69" spans="1:15" s="40" customFormat="1" x14ac:dyDescent="0.2">
      <c r="A69" s="41" t="s">
        <v>198</v>
      </c>
      <c r="B69" s="39"/>
      <c r="C69" s="1064">
        <f>SUM(C66:C68)</f>
        <v>176</v>
      </c>
      <c r="D69" s="1064"/>
      <c r="E69" s="1072">
        <f>SUM(E66:E68)</f>
        <v>179</v>
      </c>
      <c r="F69" s="1064"/>
      <c r="G69" s="76">
        <f>SUM(G66:G68)</f>
        <v>190</v>
      </c>
      <c r="I69" s="76">
        <f>SUM(I66:I68)</f>
        <v>177</v>
      </c>
      <c r="K69" s="76">
        <f>SUM(K66:K68)</f>
        <v>178</v>
      </c>
      <c r="M69" s="1064"/>
      <c r="N69" s="1064"/>
      <c r="O69" s="37"/>
    </row>
    <row r="70" spans="1:15" s="40" customFormat="1" x14ac:dyDescent="0.2">
      <c r="A70" s="38" t="s">
        <v>199</v>
      </c>
      <c r="B70" s="39"/>
      <c r="C70" s="1064"/>
      <c r="D70" s="1064"/>
      <c r="I70" s="76"/>
      <c r="K70" s="63"/>
      <c r="M70" s="76"/>
    </row>
    <row r="71" spans="1:15" s="40" customFormat="1" x14ac:dyDescent="0.2">
      <c r="A71" s="41" t="s">
        <v>1672</v>
      </c>
      <c r="B71" s="39"/>
      <c r="C71" s="1067">
        <v>13</v>
      </c>
      <c r="D71" s="1067"/>
      <c r="E71" s="76">
        <v>13</v>
      </c>
      <c r="F71" s="76"/>
      <c r="G71" s="76">
        <v>13</v>
      </c>
      <c r="I71" s="76">
        <v>13</v>
      </c>
      <c r="K71" s="76">
        <v>13</v>
      </c>
      <c r="M71" s="76"/>
    </row>
    <row r="72" spans="1:15" s="40" customFormat="1" x14ac:dyDescent="0.2">
      <c r="A72" s="41" t="s">
        <v>1675</v>
      </c>
      <c r="B72" s="39"/>
      <c r="C72" s="1067">
        <v>63</v>
      </c>
      <c r="D72" s="1067"/>
      <c r="E72" s="76">
        <v>65</v>
      </c>
      <c r="F72" s="76"/>
      <c r="G72" s="76">
        <v>70</v>
      </c>
      <c r="I72" s="76">
        <v>67</v>
      </c>
      <c r="K72" s="76">
        <v>63</v>
      </c>
      <c r="M72" s="76"/>
    </row>
    <row r="73" spans="1:15" s="40" customFormat="1" x14ac:dyDescent="0.2">
      <c r="A73" s="41" t="s">
        <v>1683</v>
      </c>
      <c r="B73" s="39"/>
      <c r="C73" s="1067">
        <v>11</v>
      </c>
      <c r="D73" s="1067"/>
      <c r="E73" s="76">
        <v>10</v>
      </c>
      <c r="F73" s="76"/>
      <c r="G73" s="76">
        <v>11</v>
      </c>
      <c r="I73" s="76">
        <v>9</v>
      </c>
      <c r="K73" s="76">
        <v>11</v>
      </c>
      <c r="M73" s="76"/>
    </row>
    <row r="74" spans="1:15" s="40" customFormat="1" x14ac:dyDescent="0.2">
      <c r="A74" s="41" t="s">
        <v>1686</v>
      </c>
      <c r="B74" s="39"/>
      <c r="C74" s="1067">
        <v>49</v>
      </c>
      <c r="D74" s="1067"/>
      <c r="E74" s="76">
        <v>51</v>
      </c>
      <c r="F74" s="76"/>
      <c r="G74" s="76">
        <v>53</v>
      </c>
      <c r="I74" s="76">
        <v>51</v>
      </c>
      <c r="K74" s="76">
        <v>54</v>
      </c>
      <c r="M74" s="76"/>
    </row>
    <row r="75" spans="1:15" s="40" customFormat="1" x14ac:dyDescent="0.2">
      <c r="A75" s="41" t="s">
        <v>1697</v>
      </c>
      <c r="B75" s="39"/>
      <c r="C75" s="1067">
        <v>37</v>
      </c>
      <c r="D75" s="1067"/>
      <c r="E75" s="76">
        <v>38</v>
      </c>
      <c r="F75" s="76"/>
      <c r="G75" s="76">
        <v>43</v>
      </c>
      <c r="I75" s="76">
        <v>35</v>
      </c>
      <c r="K75" s="76">
        <v>35</v>
      </c>
      <c r="M75" s="76"/>
    </row>
    <row r="76" spans="1:15" s="40" customFormat="1" x14ac:dyDescent="0.2">
      <c r="A76" s="41" t="s">
        <v>1706</v>
      </c>
      <c r="B76" s="39"/>
      <c r="C76" s="1067">
        <v>3</v>
      </c>
      <c r="D76" s="1067"/>
      <c r="E76" s="76">
        <v>2</v>
      </c>
      <c r="F76" s="76"/>
      <c r="G76" s="76">
        <v>0</v>
      </c>
      <c r="H76" s="40" t="s">
        <v>1711</v>
      </c>
      <c r="I76" s="76">
        <v>2</v>
      </c>
      <c r="K76" s="76">
        <v>2</v>
      </c>
      <c r="M76" s="76"/>
    </row>
    <row r="77" spans="1:15" s="40" customFormat="1" x14ac:dyDescent="0.2">
      <c r="A77" s="41" t="s">
        <v>198</v>
      </c>
      <c r="B77" s="39"/>
      <c r="C77" s="1067">
        <f>SUM(C71:C76)</f>
        <v>176</v>
      </c>
      <c r="D77" s="1067"/>
      <c r="E77" s="76">
        <f>SUM(E71:E76)</f>
        <v>179</v>
      </c>
      <c r="F77" s="76"/>
      <c r="G77" s="76">
        <f>SUM(G71:G76)</f>
        <v>190</v>
      </c>
      <c r="I77" s="76">
        <f>SUM(I71:I76)</f>
        <v>177</v>
      </c>
      <c r="K77" s="76">
        <f>SUM(K71:K76)</f>
        <v>178</v>
      </c>
      <c r="M77" s="78"/>
    </row>
    <row r="78" spans="1:15" s="40" customFormat="1" x14ac:dyDescent="0.2">
      <c r="A78" s="46" t="s">
        <v>1718</v>
      </c>
      <c r="B78" s="39"/>
      <c r="M78" s="76"/>
    </row>
    <row r="79" spans="1:15" s="40" customFormat="1" x14ac:dyDescent="0.2">
      <c r="A79" s="49" t="s">
        <v>200</v>
      </c>
      <c r="B79" s="39"/>
      <c r="C79" s="78"/>
      <c r="E79" s="78"/>
      <c r="G79" s="78"/>
      <c r="I79" s="76"/>
      <c r="K79" s="892"/>
      <c r="L79" s="892"/>
      <c r="M79" s="76"/>
    </row>
    <row r="80" spans="1:15" s="40" customFormat="1" ht="40.9" customHeight="1" x14ac:dyDescent="0.2">
      <c r="A80" s="1752" t="s">
        <v>1719</v>
      </c>
      <c r="B80" s="1796"/>
      <c r="C80" s="1796"/>
      <c r="D80" s="1796"/>
      <c r="E80" s="1796"/>
      <c r="F80" s="1796"/>
      <c r="G80" s="1796"/>
      <c r="H80" s="1796"/>
      <c r="I80" s="1796"/>
      <c r="J80" s="1796"/>
      <c r="K80" s="1796"/>
      <c r="L80" s="1796"/>
      <c r="M80" s="76"/>
    </row>
    <row r="81" spans="1:17" s="40" customFormat="1" ht="13.5" customHeight="1" x14ac:dyDescent="0.2">
      <c r="A81" s="282" t="s">
        <v>1720</v>
      </c>
      <c r="B81" s="282"/>
      <c r="C81" s="282"/>
      <c r="D81" s="282"/>
      <c r="E81" s="282"/>
      <c r="F81" s="282"/>
      <c r="G81" s="282"/>
      <c r="H81" s="282"/>
      <c r="I81" s="282"/>
      <c r="J81" s="282"/>
      <c r="K81" s="282"/>
      <c r="L81" s="951"/>
      <c r="M81" s="104"/>
      <c r="N81" s="148"/>
      <c r="O81" s="148"/>
    </row>
    <row r="82" spans="1:17" s="40" customFormat="1" ht="13.5" customHeight="1" x14ac:dyDescent="0.2">
      <c r="A82" s="282" t="s">
        <v>1721</v>
      </c>
      <c r="B82" s="282"/>
      <c r="C82" s="282"/>
      <c r="D82" s="282"/>
      <c r="E82" s="282"/>
      <c r="F82" s="282"/>
      <c r="G82" s="282"/>
      <c r="H82" s="282"/>
      <c r="I82" s="282"/>
      <c r="J82" s="282"/>
      <c r="K82" s="282"/>
      <c r="L82" s="951"/>
      <c r="M82" s="104"/>
      <c r="N82" s="148"/>
      <c r="O82" s="148"/>
    </row>
    <row r="83" spans="1:17" x14ac:dyDescent="0.2">
      <c r="A83" s="282" t="s">
        <v>1722</v>
      </c>
      <c r="B83" s="54"/>
      <c r="C83" s="25"/>
      <c r="D83" s="25"/>
      <c r="E83" s="58"/>
      <c r="F83" s="58"/>
      <c r="G83" s="58"/>
      <c r="H83" s="58"/>
      <c r="K83" s="1073"/>
      <c r="L83" s="1073"/>
      <c r="O83" s="54"/>
      <c r="P83" s="54"/>
    </row>
    <row r="84" spans="1:17" x14ac:dyDescent="0.2">
      <c r="A84" s="282" t="s">
        <v>1723</v>
      </c>
      <c r="B84" s="54"/>
      <c r="C84" s="25"/>
      <c r="D84" s="25"/>
      <c r="E84" s="58"/>
      <c r="F84" s="58"/>
      <c r="G84" s="58"/>
      <c r="H84" s="58"/>
      <c r="K84" s="1073"/>
      <c r="L84" s="1073"/>
      <c r="O84" s="54"/>
      <c r="P84" s="54"/>
    </row>
    <row r="85" spans="1:17" x14ac:dyDescent="0.2">
      <c r="A85" s="282" t="s">
        <v>1724</v>
      </c>
      <c r="B85" s="54"/>
      <c r="C85" s="25"/>
      <c r="D85" s="25"/>
      <c r="E85" s="58"/>
      <c r="F85" s="58"/>
      <c r="G85" s="58"/>
      <c r="H85" s="58"/>
      <c r="K85" s="1073"/>
      <c r="L85" s="1073"/>
      <c r="O85" s="54"/>
      <c r="P85" s="54"/>
    </row>
    <row r="86" spans="1:17" x14ac:dyDescent="0.2">
      <c r="A86" s="25" t="s">
        <v>1725</v>
      </c>
      <c r="B86" s="54"/>
      <c r="C86" s="25"/>
      <c r="D86" s="25"/>
      <c r="E86" s="58"/>
      <c r="F86" s="58"/>
      <c r="G86" s="58"/>
      <c r="H86" s="58"/>
      <c r="K86" s="1073"/>
      <c r="L86" s="1073"/>
      <c r="O86" s="54"/>
      <c r="P86" s="54"/>
    </row>
    <row r="87" spans="1:17" x14ac:dyDescent="0.2">
      <c r="A87" s="25" t="s">
        <v>1726</v>
      </c>
      <c r="B87" s="25"/>
      <c r="C87" s="25"/>
      <c r="D87" s="25"/>
      <c r="E87" s="58"/>
      <c r="F87" s="58"/>
      <c r="G87" s="58"/>
      <c r="H87" s="58"/>
      <c r="K87" s="1073"/>
      <c r="L87" s="1073"/>
      <c r="O87" s="54"/>
      <c r="P87" s="54"/>
    </row>
    <row r="88" spans="1:17" x14ac:dyDescent="0.2">
      <c r="A88" s="25" t="s">
        <v>1727</v>
      </c>
      <c r="B88" s="25"/>
      <c r="C88" s="25"/>
      <c r="D88" s="25"/>
      <c r="E88" s="58"/>
      <c r="F88" s="58"/>
      <c r="G88" s="58"/>
      <c r="H88" s="58"/>
      <c r="K88" s="1073"/>
      <c r="L88" s="1073"/>
      <c r="O88" s="54"/>
      <c r="P88" s="54"/>
    </row>
    <row r="89" spans="1:17" x14ac:dyDescent="0.2">
      <c r="B89" s="25"/>
      <c r="C89" s="25"/>
      <c r="D89" s="25"/>
      <c r="E89" s="58"/>
      <c r="F89" s="58"/>
      <c r="G89" s="58"/>
      <c r="H89" s="58"/>
      <c r="K89" s="1073"/>
      <c r="L89" s="1073"/>
      <c r="O89" s="54"/>
      <c r="P89" s="54"/>
    </row>
    <row r="90" spans="1:17" x14ac:dyDescent="0.2">
      <c r="B90" s="25"/>
      <c r="C90" s="25"/>
      <c r="D90" s="25"/>
      <c r="E90" s="58"/>
      <c r="F90" s="58"/>
      <c r="G90" s="58"/>
      <c r="H90" s="58"/>
      <c r="K90" s="1073"/>
      <c r="L90" s="1073"/>
      <c r="O90" s="54"/>
      <c r="P90" s="54"/>
    </row>
    <row r="91" spans="1:17" x14ac:dyDescent="0.2">
      <c r="B91" s="25"/>
      <c r="C91" s="25"/>
      <c r="D91" s="25"/>
      <c r="E91" s="58"/>
      <c r="F91" s="58"/>
      <c r="G91" s="58"/>
      <c r="H91" s="58"/>
      <c r="K91" s="1073"/>
      <c r="L91" s="1073"/>
      <c r="O91" s="54"/>
      <c r="P91" s="54"/>
    </row>
    <row r="92" spans="1:17" x14ac:dyDescent="0.2">
      <c r="B92" s="25"/>
      <c r="C92" s="25"/>
      <c r="D92" s="25"/>
      <c r="E92" s="58"/>
      <c r="F92" s="58"/>
      <c r="G92" s="58"/>
      <c r="H92" s="58"/>
      <c r="K92" s="1073"/>
      <c r="L92" s="1073"/>
      <c r="P92" s="54"/>
    </row>
    <row r="93" spans="1:17" x14ac:dyDescent="0.2">
      <c r="B93" s="25"/>
      <c r="C93" s="25"/>
      <c r="D93" s="25"/>
      <c r="E93" s="58"/>
      <c r="F93" s="58"/>
      <c r="G93" s="58"/>
      <c r="H93" s="58"/>
      <c r="K93" s="1073"/>
      <c r="L93" s="1073"/>
      <c r="P93" s="54"/>
    </row>
    <row r="94" spans="1:17" x14ac:dyDescent="0.2">
      <c r="B94" s="25"/>
      <c r="C94" s="25"/>
      <c r="D94" s="25"/>
      <c r="E94" s="58"/>
      <c r="F94" s="58"/>
      <c r="G94" s="58"/>
      <c r="H94" s="58"/>
      <c r="K94" s="1073"/>
      <c r="L94" s="1073"/>
      <c r="P94" s="54"/>
    </row>
    <row r="95" spans="1:17" x14ac:dyDescent="0.2">
      <c r="B95" s="25"/>
      <c r="C95" s="25"/>
      <c r="D95" s="25"/>
      <c r="E95" s="58"/>
      <c r="F95" s="58"/>
      <c r="G95" s="58"/>
      <c r="H95" s="58"/>
      <c r="K95" s="60"/>
      <c r="L95" s="1073"/>
      <c r="P95" s="54"/>
      <c r="Q95" s="57"/>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row r="127" spans="2:2" x14ac:dyDescent="0.2">
      <c r="B127" s="25"/>
    </row>
    <row r="128" spans="2:2" x14ac:dyDescent="0.2">
      <c r="B128" s="25"/>
    </row>
    <row r="129" spans="2:2" x14ac:dyDescent="0.2">
      <c r="B129" s="25"/>
    </row>
    <row r="130" spans="2:2" x14ac:dyDescent="0.2">
      <c r="B130" s="25"/>
    </row>
    <row r="131" spans="2:2" x14ac:dyDescent="0.2">
      <c r="B131" s="25"/>
    </row>
    <row r="132" spans="2:2" x14ac:dyDescent="0.2">
      <c r="B132" s="25"/>
    </row>
  </sheetData>
  <mergeCells count="2">
    <mergeCell ref="A80:L80"/>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65" fitToHeight="99" pageOrder="overThenDown" orientation="portrait" blackAndWhite="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2">
    <pageSetUpPr fitToPage="1"/>
  </sheetPr>
  <dimension ref="A1:Q12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1549</v>
      </c>
      <c r="C3" s="10" t="s">
        <v>1550</v>
      </c>
      <c r="D3" s="6"/>
      <c r="E3" s="11"/>
      <c r="F3" s="9"/>
      <c r="G3" s="11"/>
      <c r="H3" s="6"/>
      <c r="I3" s="11"/>
      <c r="J3" s="6"/>
      <c r="K3" s="1734"/>
      <c r="L3" s="6"/>
      <c r="M3" s="11"/>
      <c r="N3" s="6"/>
    </row>
    <row r="4" spans="1:16" s="4" customFormat="1" ht="15.75" x14ac:dyDescent="0.25">
      <c r="A4" s="1" t="s">
        <v>180</v>
      </c>
      <c r="B4" s="10" t="s">
        <v>1728</v>
      </c>
      <c r="C4" s="10" t="s">
        <v>39</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1729</v>
      </c>
      <c r="B11" s="36"/>
    </row>
    <row r="12" spans="1:16" s="40" customFormat="1" x14ac:dyDescent="0.2">
      <c r="A12" s="41" t="s">
        <v>532</v>
      </c>
      <c r="B12" s="39"/>
      <c r="C12" s="1074">
        <f>SUM(C13:C14)</f>
        <v>338</v>
      </c>
      <c r="E12" s="1074">
        <f>SUM(E13:E14)</f>
        <v>338</v>
      </c>
      <c r="F12" s="1074"/>
      <c r="G12" s="1074">
        <v>338</v>
      </c>
      <c r="H12" s="1074"/>
      <c r="I12" s="1074">
        <f>SUM(I13:I14)</f>
        <v>328</v>
      </c>
      <c r="J12" s="1074"/>
      <c r="K12" s="1074">
        <f>SUM(K13:K14)</f>
        <v>328</v>
      </c>
      <c r="M12" s="78"/>
      <c r="N12" s="78"/>
    </row>
    <row r="13" spans="1:16" s="40" customFormat="1" x14ac:dyDescent="0.2">
      <c r="A13" s="90" t="s">
        <v>1730</v>
      </c>
      <c r="B13" s="39"/>
      <c r="C13" s="1074">
        <v>328</v>
      </c>
      <c r="D13" s="1074"/>
      <c r="E13" s="1074">
        <v>328</v>
      </c>
      <c r="F13" s="1074"/>
      <c r="G13" s="1074">
        <v>328</v>
      </c>
      <c r="H13" s="1074"/>
      <c r="I13" s="1074">
        <v>328</v>
      </c>
      <c r="J13" s="1074"/>
      <c r="K13" s="1074">
        <v>328</v>
      </c>
      <c r="M13" s="78"/>
      <c r="N13" s="78"/>
    </row>
    <row r="14" spans="1:16" s="40" customFormat="1" x14ac:dyDescent="0.2">
      <c r="A14" s="90" t="s">
        <v>1731</v>
      </c>
      <c r="B14" s="39"/>
      <c r="C14" s="1074">
        <v>10</v>
      </c>
      <c r="D14" s="1074"/>
      <c r="E14" s="1074">
        <v>10</v>
      </c>
      <c r="F14" s="1074"/>
      <c r="G14" s="1074">
        <v>0</v>
      </c>
      <c r="H14" s="1074"/>
      <c r="I14" s="1074">
        <v>0</v>
      </c>
      <c r="J14" s="1074"/>
      <c r="K14" s="1074">
        <v>0</v>
      </c>
      <c r="M14" s="78"/>
      <c r="N14" s="78"/>
    </row>
    <row r="15" spans="1:16" s="40" customFormat="1" x14ac:dyDescent="0.2">
      <c r="A15" s="90"/>
      <c r="B15" s="39"/>
      <c r="C15" s="1075"/>
      <c r="M15" s="78"/>
      <c r="N15" s="78"/>
    </row>
    <row r="16" spans="1:16" s="40" customFormat="1" x14ac:dyDescent="0.2">
      <c r="A16" s="41" t="s">
        <v>354</v>
      </c>
      <c r="B16" s="39"/>
      <c r="C16" s="1074">
        <f>SUM(C17:C18)</f>
        <v>158</v>
      </c>
      <c r="D16" s="1074"/>
      <c r="E16" s="1074">
        <f>SUM(E17:E18)</f>
        <v>146</v>
      </c>
      <c r="F16" s="1074"/>
      <c r="G16" s="1074">
        <f>SUM(G17:G18)</f>
        <v>156</v>
      </c>
      <c r="H16" s="1074"/>
      <c r="I16" s="1074">
        <f>SUM(I17:I18)</f>
        <v>151</v>
      </c>
      <c r="J16" s="1074"/>
      <c r="K16" s="1074">
        <f>SUM(K17:K18)</f>
        <v>171</v>
      </c>
      <c r="M16" s="78"/>
      <c r="N16" s="78"/>
    </row>
    <row r="17" spans="1:14" s="40" customFormat="1" x14ac:dyDescent="0.2">
      <c r="A17" s="90" t="s">
        <v>1730</v>
      </c>
      <c r="B17" s="39"/>
      <c r="C17" s="1074">
        <v>157</v>
      </c>
      <c r="D17" s="1074"/>
      <c r="E17" s="1074">
        <v>146</v>
      </c>
      <c r="F17" s="1074"/>
      <c r="G17" s="1074">
        <v>156</v>
      </c>
      <c r="H17" s="1074"/>
      <c r="I17" s="1074">
        <v>151</v>
      </c>
      <c r="J17" s="1074"/>
      <c r="K17" s="1074">
        <v>171</v>
      </c>
      <c r="L17" s="40" t="s">
        <v>737</v>
      </c>
      <c r="M17" s="78"/>
      <c r="N17" s="78"/>
    </row>
    <row r="18" spans="1:14" s="40" customFormat="1" x14ac:dyDescent="0.2">
      <c r="A18" s="90" t="s">
        <v>1731</v>
      </c>
      <c r="B18" s="39"/>
      <c r="C18" s="1074">
        <v>1</v>
      </c>
      <c r="D18" s="1074"/>
      <c r="E18" s="1074">
        <v>0</v>
      </c>
      <c r="F18" s="1074"/>
      <c r="G18" s="1074">
        <v>0</v>
      </c>
      <c r="H18" s="1074"/>
      <c r="I18" s="1074">
        <v>0</v>
      </c>
      <c r="J18" s="1074"/>
      <c r="K18" s="1074">
        <v>0</v>
      </c>
      <c r="M18" s="78"/>
      <c r="N18" s="78"/>
    </row>
    <row r="19" spans="1:14" s="40" customFormat="1" x14ac:dyDescent="0.2">
      <c r="A19" s="90"/>
      <c r="B19" s="39"/>
      <c r="C19" s="1075"/>
      <c r="M19" s="78"/>
      <c r="N19" s="78"/>
    </row>
    <row r="20" spans="1:14" s="40" customFormat="1" x14ac:dyDescent="0.2">
      <c r="A20" s="41" t="s">
        <v>1732</v>
      </c>
      <c r="B20" s="39"/>
      <c r="C20" s="1076" t="s">
        <v>1733</v>
      </c>
      <c r="E20" s="1077" t="s">
        <v>1733</v>
      </c>
      <c r="G20" s="1078" t="s">
        <v>1733</v>
      </c>
      <c r="I20" s="1077" t="s">
        <v>1733</v>
      </c>
      <c r="K20" s="1077" t="s">
        <v>1734</v>
      </c>
      <c r="M20" s="1077"/>
    </row>
    <row r="21" spans="1:14" s="40" customFormat="1" x14ac:dyDescent="0.2">
      <c r="A21" s="41" t="s">
        <v>1735</v>
      </c>
      <c r="B21" s="39"/>
      <c r="C21" s="1079">
        <v>157918</v>
      </c>
      <c r="E21" s="97">
        <v>172562</v>
      </c>
      <c r="G21" s="98">
        <v>164128</v>
      </c>
      <c r="I21" s="97">
        <v>192073</v>
      </c>
      <c r="K21" s="97">
        <v>169608</v>
      </c>
      <c r="M21" s="97"/>
    </row>
    <row r="22" spans="1:14" s="40" customFormat="1" x14ac:dyDescent="0.2">
      <c r="A22" s="41" t="s">
        <v>1736</v>
      </c>
      <c r="B22" s="39"/>
      <c r="C22" s="1080">
        <v>431.47</v>
      </c>
      <c r="E22" s="253">
        <v>472.77</v>
      </c>
      <c r="G22" s="254">
        <v>449.67</v>
      </c>
      <c r="I22" s="253">
        <v>526.23</v>
      </c>
      <c r="K22" s="253">
        <v>464.68</v>
      </c>
      <c r="M22" s="253"/>
    </row>
    <row r="23" spans="1:14" s="37" customFormat="1" x14ac:dyDescent="0.2">
      <c r="A23" s="90"/>
      <c r="B23" s="36"/>
      <c r="C23" s="1081"/>
      <c r="M23" s="89"/>
    </row>
    <row r="24" spans="1:14" s="37" customFormat="1" x14ac:dyDescent="0.2">
      <c r="A24" s="35" t="s">
        <v>1737</v>
      </c>
      <c r="B24" s="36"/>
      <c r="C24" s="1081"/>
      <c r="M24" s="89"/>
    </row>
    <row r="25" spans="1:14" s="37" customFormat="1" x14ac:dyDescent="0.2">
      <c r="A25" s="41" t="s">
        <v>532</v>
      </c>
      <c r="B25" s="36"/>
      <c r="C25" s="1074">
        <f>SUM(C26:C27)</f>
        <v>511</v>
      </c>
      <c r="D25" s="1074"/>
      <c r="E25" s="1074">
        <f t="shared" ref="E25:K25" si="0">SUM(E26:E27)</f>
        <v>511</v>
      </c>
      <c r="F25" s="1074"/>
      <c r="G25" s="1074">
        <f t="shared" si="0"/>
        <v>511</v>
      </c>
      <c r="H25" s="1074">
        <f t="shared" si="0"/>
        <v>0</v>
      </c>
      <c r="I25" s="1074">
        <f t="shared" si="0"/>
        <v>511</v>
      </c>
      <c r="J25" s="1074"/>
      <c r="K25" s="1074">
        <f t="shared" si="0"/>
        <v>511</v>
      </c>
      <c r="M25" s="89"/>
    </row>
    <row r="26" spans="1:14" s="37" customFormat="1" x14ac:dyDescent="0.2">
      <c r="A26" s="90" t="s">
        <v>1738</v>
      </c>
      <c r="B26" s="36"/>
      <c r="C26" s="1074">
        <v>300</v>
      </c>
      <c r="D26" s="77"/>
      <c r="E26" s="76">
        <v>300</v>
      </c>
      <c r="F26" s="77"/>
      <c r="G26" s="77">
        <v>300</v>
      </c>
      <c r="I26" s="76">
        <v>300</v>
      </c>
      <c r="K26" s="76">
        <v>300</v>
      </c>
      <c r="M26" s="89"/>
    </row>
    <row r="27" spans="1:14" s="37" customFormat="1" x14ac:dyDescent="0.2">
      <c r="A27" s="90" t="s">
        <v>1739</v>
      </c>
      <c r="B27" s="36"/>
      <c r="C27" s="1074">
        <v>211</v>
      </c>
      <c r="D27" s="77"/>
      <c r="E27" s="76">
        <v>211</v>
      </c>
      <c r="F27" s="77"/>
      <c r="G27" s="77">
        <v>211</v>
      </c>
      <c r="I27" s="76">
        <v>211</v>
      </c>
      <c r="K27" s="76">
        <v>211</v>
      </c>
      <c r="M27" s="89"/>
    </row>
    <row r="28" spans="1:14" s="37" customFormat="1" x14ac:dyDescent="0.2">
      <c r="A28" s="90"/>
      <c r="B28" s="36"/>
      <c r="C28" s="1081"/>
      <c r="M28" s="89"/>
    </row>
    <row r="29" spans="1:14" s="37" customFormat="1" x14ac:dyDescent="0.2">
      <c r="A29" s="41" t="s">
        <v>354</v>
      </c>
      <c r="B29" s="36"/>
      <c r="C29" s="1074">
        <f>SUM(C30:C31)</f>
        <v>239</v>
      </c>
      <c r="E29" s="76">
        <f>SUM(E30:E31)</f>
        <v>215</v>
      </c>
      <c r="G29" s="77">
        <v>226</v>
      </c>
      <c r="I29" s="76">
        <f>SUM(I30:I31)</f>
        <v>214</v>
      </c>
      <c r="K29" s="76">
        <f>SUM(K30:K31)</f>
        <v>194</v>
      </c>
      <c r="M29" s="89"/>
    </row>
    <row r="30" spans="1:14" s="37" customFormat="1" x14ac:dyDescent="0.2">
      <c r="A30" s="90" t="s">
        <v>1738</v>
      </c>
      <c r="B30" s="36"/>
      <c r="C30" s="1074">
        <v>145</v>
      </c>
      <c r="E30" s="76">
        <v>144</v>
      </c>
      <c r="G30" s="77">
        <v>160</v>
      </c>
      <c r="H30" s="40"/>
      <c r="I30" s="76">
        <v>136</v>
      </c>
      <c r="J30" s="40"/>
      <c r="K30" s="76">
        <v>116</v>
      </c>
      <c r="L30" s="40" t="s">
        <v>737</v>
      </c>
      <c r="M30" s="89"/>
    </row>
    <row r="31" spans="1:14" s="37" customFormat="1" x14ac:dyDescent="0.2">
      <c r="A31" s="90" t="s">
        <v>1739</v>
      </c>
      <c r="B31" s="36"/>
      <c r="C31" s="1074">
        <v>94</v>
      </c>
      <c r="E31" s="76">
        <v>71</v>
      </c>
      <c r="F31" s="40"/>
      <c r="G31" s="77">
        <v>66</v>
      </c>
      <c r="I31" s="76">
        <v>78</v>
      </c>
      <c r="K31" s="76">
        <v>78</v>
      </c>
      <c r="M31" s="89"/>
    </row>
    <row r="32" spans="1:14" s="37" customFormat="1" x14ac:dyDescent="0.2">
      <c r="A32" s="90"/>
      <c r="B32" s="36"/>
      <c r="C32" s="1081"/>
      <c r="E32" s="63"/>
      <c r="M32" s="89"/>
    </row>
    <row r="33" spans="1:13" s="37" customFormat="1" x14ac:dyDescent="0.2">
      <c r="A33" s="41" t="s">
        <v>1732</v>
      </c>
      <c r="B33" s="36"/>
      <c r="C33" s="1082" t="s">
        <v>1733</v>
      </c>
      <c r="E33" s="65" t="s">
        <v>1733</v>
      </c>
      <c r="G33" s="64" t="s">
        <v>1733</v>
      </c>
      <c r="I33" s="65" t="s">
        <v>1733</v>
      </c>
      <c r="K33" s="65" t="s">
        <v>1733</v>
      </c>
      <c r="M33" s="108"/>
    </row>
    <row r="34" spans="1:13" s="37" customFormat="1" x14ac:dyDescent="0.2">
      <c r="A34" s="41" t="s">
        <v>1735</v>
      </c>
      <c r="B34" s="36"/>
      <c r="C34" s="1079">
        <v>224431</v>
      </c>
      <c r="E34" s="97">
        <v>253567</v>
      </c>
      <c r="G34" s="98">
        <v>248186</v>
      </c>
      <c r="I34" s="97">
        <v>255495</v>
      </c>
      <c r="K34" s="97">
        <v>281835</v>
      </c>
      <c r="M34" s="128"/>
    </row>
    <row r="35" spans="1:13" s="37" customFormat="1" x14ac:dyDescent="0.2">
      <c r="A35" s="41" t="s">
        <v>1736</v>
      </c>
      <c r="B35" s="36"/>
      <c r="C35" s="1080">
        <v>613.20000000000005</v>
      </c>
      <c r="E35" s="1080">
        <v>694.71</v>
      </c>
      <c r="G35" s="254">
        <v>679.96</v>
      </c>
      <c r="I35" s="1080">
        <v>699.99</v>
      </c>
      <c r="K35" s="1080">
        <v>772.15</v>
      </c>
      <c r="M35" s="1083"/>
    </row>
    <row r="36" spans="1:13" s="37" customFormat="1" x14ac:dyDescent="0.2">
      <c r="A36" s="41"/>
      <c r="B36" s="36"/>
      <c r="C36" s="1081"/>
      <c r="M36" s="1083"/>
    </row>
    <row r="37" spans="1:13" s="37" customFormat="1" x14ac:dyDescent="0.2">
      <c r="A37" s="35" t="s">
        <v>1740</v>
      </c>
      <c r="B37" s="36"/>
      <c r="C37" s="1081"/>
    </row>
    <row r="38" spans="1:13" s="40" customFormat="1" x14ac:dyDescent="0.2">
      <c r="A38" s="41" t="s">
        <v>1741</v>
      </c>
      <c r="B38" s="39"/>
      <c r="C38" s="1084">
        <v>226</v>
      </c>
      <c r="E38" s="76">
        <v>215</v>
      </c>
      <c r="G38" s="77">
        <v>224</v>
      </c>
      <c r="I38" s="76">
        <v>180</v>
      </c>
      <c r="K38" s="76">
        <v>180</v>
      </c>
      <c r="M38" s="76"/>
    </row>
    <row r="39" spans="1:13" s="37" customFormat="1" x14ac:dyDescent="0.2">
      <c r="A39" s="90"/>
      <c r="B39" s="36"/>
      <c r="C39" s="1081"/>
      <c r="M39" s="89"/>
    </row>
    <row r="40" spans="1:13" s="37" customFormat="1" x14ac:dyDescent="0.2">
      <c r="A40" s="35" t="s">
        <v>194</v>
      </c>
      <c r="B40" s="36"/>
      <c r="C40" s="1081"/>
    </row>
    <row r="41" spans="1:13" s="37" customFormat="1" x14ac:dyDescent="0.2">
      <c r="A41" s="35" t="s">
        <v>973</v>
      </c>
      <c r="B41" s="36"/>
      <c r="C41" s="1081"/>
    </row>
    <row r="42" spans="1:13" s="40" customFormat="1" x14ac:dyDescent="0.2">
      <c r="A42" s="38" t="s">
        <v>196</v>
      </c>
      <c r="B42" s="39"/>
      <c r="C42" s="1075"/>
    </row>
    <row r="43" spans="1:13" s="40" customFormat="1" x14ac:dyDescent="0.2">
      <c r="A43" s="41" t="s">
        <v>197</v>
      </c>
      <c r="B43" s="39"/>
      <c r="C43" s="1084">
        <v>950</v>
      </c>
      <c r="E43" s="1084">
        <v>945</v>
      </c>
      <c r="G43" s="77">
        <v>974</v>
      </c>
      <c r="I43" s="76">
        <v>945</v>
      </c>
      <c r="K43" s="76">
        <v>941</v>
      </c>
      <c r="M43" s="76"/>
    </row>
    <row r="44" spans="1:13" s="40" customFormat="1" x14ac:dyDescent="0.2">
      <c r="A44" s="41" t="s">
        <v>261</v>
      </c>
      <c r="B44" s="39"/>
      <c r="C44" s="1084">
        <v>4</v>
      </c>
      <c r="E44" s="1084">
        <v>1</v>
      </c>
      <c r="G44" s="77">
        <v>2</v>
      </c>
      <c r="I44" s="76">
        <v>1</v>
      </c>
      <c r="K44" s="76">
        <v>1</v>
      </c>
      <c r="M44" s="76"/>
    </row>
    <row r="45" spans="1:13" s="40" customFormat="1" x14ac:dyDescent="0.2">
      <c r="A45" s="41" t="s">
        <v>262</v>
      </c>
      <c r="B45" s="39"/>
      <c r="C45" s="1084">
        <v>154</v>
      </c>
      <c r="E45" s="1084">
        <v>165</v>
      </c>
      <c r="G45" s="77">
        <v>164</v>
      </c>
      <c r="I45" s="76">
        <v>146</v>
      </c>
      <c r="K45" s="76">
        <v>149</v>
      </c>
      <c r="M45" s="76"/>
    </row>
    <row r="46" spans="1:13" s="40" customFormat="1" x14ac:dyDescent="0.2">
      <c r="A46" s="41" t="s">
        <v>198</v>
      </c>
      <c r="B46" s="39"/>
      <c r="C46" s="1084">
        <f>SUM(C43:C45)</f>
        <v>1108</v>
      </c>
      <c r="E46" s="1084">
        <f>SUM(E43:E45)</f>
        <v>1111</v>
      </c>
      <c r="G46" s="77">
        <f>SUM(G43:G45)</f>
        <v>1140</v>
      </c>
      <c r="I46" s="76">
        <f>SUM(I43:I45)</f>
        <v>1092</v>
      </c>
      <c r="K46" s="76">
        <f>SUM(K43:K45)</f>
        <v>1091</v>
      </c>
      <c r="M46" s="76"/>
    </row>
    <row r="47" spans="1:13" s="40" customFormat="1" x14ac:dyDescent="0.2">
      <c r="A47" s="38" t="s">
        <v>199</v>
      </c>
      <c r="B47" s="39"/>
      <c r="C47" s="1075"/>
      <c r="M47" s="65"/>
    </row>
    <row r="48" spans="1:13" s="40" customFormat="1" x14ac:dyDescent="0.2">
      <c r="A48" s="41" t="s">
        <v>1729</v>
      </c>
      <c r="B48" s="39"/>
      <c r="C48" s="1084">
        <v>390</v>
      </c>
      <c r="E48" s="76">
        <v>376</v>
      </c>
      <c r="G48" s="77">
        <v>383</v>
      </c>
      <c r="I48" s="76">
        <v>374</v>
      </c>
      <c r="K48" s="76">
        <v>374</v>
      </c>
      <c r="M48" s="76"/>
    </row>
    <row r="49" spans="1:17" s="40" customFormat="1" x14ac:dyDescent="0.2">
      <c r="A49" s="41" t="s">
        <v>518</v>
      </c>
      <c r="B49" s="39"/>
      <c r="C49" s="1084">
        <v>345</v>
      </c>
      <c r="E49" s="76">
        <v>327</v>
      </c>
      <c r="G49" s="77">
        <v>364</v>
      </c>
      <c r="I49" s="76">
        <v>326</v>
      </c>
      <c r="K49" s="76">
        <v>326</v>
      </c>
      <c r="M49" s="76"/>
    </row>
    <row r="50" spans="1:17" s="40" customFormat="1" x14ac:dyDescent="0.2">
      <c r="A50" s="41" t="s">
        <v>565</v>
      </c>
      <c r="B50" s="39"/>
      <c r="C50" s="1084">
        <v>197</v>
      </c>
      <c r="E50" s="76">
        <v>214</v>
      </c>
      <c r="G50" s="77">
        <v>194</v>
      </c>
      <c r="I50" s="76">
        <v>203</v>
      </c>
      <c r="K50" s="76">
        <v>203</v>
      </c>
      <c r="M50" s="76"/>
    </row>
    <row r="51" spans="1:17" s="40" customFormat="1" x14ac:dyDescent="0.2">
      <c r="A51" s="41" t="s">
        <v>1740</v>
      </c>
      <c r="B51" s="39"/>
      <c r="C51" s="1084">
        <v>57</v>
      </c>
      <c r="E51" s="76">
        <v>55</v>
      </c>
      <c r="G51" s="77">
        <v>60</v>
      </c>
      <c r="I51" s="76">
        <v>52</v>
      </c>
      <c r="K51" s="76">
        <v>54</v>
      </c>
      <c r="M51" s="76"/>
    </row>
    <row r="52" spans="1:17" s="40" customFormat="1" x14ac:dyDescent="0.2">
      <c r="A52" s="41" t="s">
        <v>263</v>
      </c>
      <c r="B52" s="39"/>
      <c r="C52" s="1084">
        <v>119</v>
      </c>
      <c r="E52" s="76">
        <v>139</v>
      </c>
      <c r="G52" s="77">
        <v>139</v>
      </c>
      <c r="I52" s="76">
        <v>137</v>
      </c>
      <c r="K52" s="76">
        <v>134</v>
      </c>
      <c r="M52" s="76"/>
    </row>
    <row r="53" spans="1:17" s="40" customFormat="1" x14ac:dyDescent="0.2">
      <c r="A53" s="41" t="s">
        <v>198</v>
      </c>
      <c r="B53" s="39"/>
      <c r="C53" s="1084">
        <f>SUM(C48:C52)</f>
        <v>1108</v>
      </c>
      <c r="E53" s="76">
        <f>SUM(E48:E52)</f>
        <v>1111</v>
      </c>
      <c r="G53" s="77">
        <f>SUM(G48:G52)</f>
        <v>1140</v>
      </c>
      <c r="I53" s="76">
        <f>SUM(I48:I52)</f>
        <v>1092</v>
      </c>
      <c r="K53" s="76">
        <f>SUM(K48:K52)</f>
        <v>1091</v>
      </c>
      <c r="M53" s="76"/>
    </row>
    <row r="54" spans="1:17" s="37" customFormat="1" x14ac:dyDescent="0.2">
      <c r="A54" s="35"/>
      <c r="B54" s="36"/>
    </row>
    <row r="55" spans="1:17" s="48" customFormat="1" x14ac:dyDescent="0.2">
      <c r="A55" s="46"/>
      <c r="B55" s="47"/>
    </row>
    <row r="56" spans="1:17" s="48" customFormat="1" x14ac:dyDescent="0.2">
      <c r="A56" s="49" t="s">
        <v>200</v>
      </c>
      <c r="B56" s="50"/>
      <c r="C56" s="51"/>
      <c r="D56" s="52"/>
      <c r="E56" s="53"/>
      <c r="F56" s="52"/>
      <c r="G56" s="53"/>
      <c r="H56" s="52"/>
      <c r="I56" s="53"/>
      <c r="J56" s="52"/>
      <c r="K56" s="53"/>
      <c r="L56" s="52"/>
      <c r="M56" s="51"/>
      <c r="N56" s="52"/>
    </row>
    <row r="57" spans="1:17" ht="30" customHeight="1" x14ac:dyDescent="0.2">
      <c r="A57" s="1738" t="s">
        <v>1719</v>
      </c>
      <c r="B57" s="1738"/>
      <c r="C57" s="1738"/>
      <c r="D57" s="1738"/>
      <c r="E57" s="1738"/>
      <c r="F57" s="1738"/>
      <c r="G57" s="1738"/>
      <c r="H57" s="1738"/>
      <c r="I57" s="1738"/>
      <c r="J57" s="1738"/>
      <c r="K57" s="1738"/>
      <c r="L57" s="1738"/>
      <c r="M57" s="1738"/>
      <c r="N57" s="1738"/>
      <c r="O57" s="54"/>
      <c r="P57" s="54"/>
      <c r="Q57" s="951"/>
    </row>
    <row r="58" spans="1:17" s="1085" customFormat="1" x14ac:dyDescent="0.25">
      <c r="A58" s="1738" t="s">
        <v>1742</v>
      </c>
      <c r="B58" s="1763"/>
      <c r="C58" s="1763"/>
      <c r="D58" s="1763"/>
      <c r="E58" s="1763"/>
      <c r="F58" s="1763"/>
      <c r="G58" s="1763"/>
      <c r="H58" s="1763"/>
      <c r="I58" s="1763"/>
      <c r="J58" s="1763"/>
      <c r="K58" s="1763"/>
    </row>
    <row r="59" spans="1:17" s="1085" customFormat="1" x14ac:dyDescent="0.25">
      <c r="A59" s="1086" t="s">
        <v>1743</v>
      </c>
    </row>
    <row r="60" spans="1:17" s="1085" customFormat="1" ht="30.75" customHeight="1" x14ac:dyDescent="0.25">
      <c r="A60" s="1738"/>
      <c r="B60" s="1763"/>
      <c r="C60" s="1763"/>
      <c r="D60" s="1763"/>
      <c r="E60" s="1763"/>
      <c r="F60" s="1763"/>
      <c r="G60" s="1763"/>
      <c r="H60" s="1763"/>
      <c r="I60" s="1763"/>
      <c r="J60" s="1763"/>
      <c r="K60" s="1763"/>
    </row>
    <row r="61" spans="1:17" s="1085" customFormat="1" ht="27.75" customHeight="1" x14ac:dyDescent="0.25">
      <c r="A61" s="1738"/>
      <c r="B61" s="1738"/>
      <c r="C61" s="1738"/>
      <c r="D61" s="1738"/>
      <c r="E61" s="1738"/>
      <c r="F61" s="1738"/>
      <c r="G61" s="1738"/>
      <c r="H61" s="1738"/>
      <c r="I61" s="1738"/>
      <c r="J61" s="1738"/>
      <c r="K61" s="1738"/>
      <c r="L61" s="1738"/>
      <c r="M61" s="1738"/>
      <c r="N61" s="1738"/>
    </row>
    <row r="62" spans="1:17" s="372" customFormat="1" ht="27.75" customHeight="1" x14ac:dyDescent="0.2">
      <c r="A62" s="1738"/>
      <c r="B62" s="1738"/>
      <c r="C62" s="1738"/>
      <c r="D62" s="1738"/>
      <c r="E62" s="1738"/>
      <c r="F62" s="1738"/>
      <c r="G62" s="1738"/>
      <c r="H62" s="1738"/>
      <c r="I62" s="1738"/>
      <c r="J62" s="1738"/>
      <c r="K62" s="1738"/>
      <c r="L62" s="1738"/>
      <c r="M62" s="1738"/>
      <c r="N62" s="1738"/>
      <c r="O62" s="54"/>
      <c r="P62" s="54"/>
    </row>
    <row r="63" spans="1:17" s="372" customFormat="1" ht="27.75" customHeight="1" x14ac:dyDescent="0.2">
      <c r="A63" s="1738"/>
      <c r="B63" s="1763"/>
      <c r="C63" s="1763"/>
      <c r="D63" s="1763"/>
      <c r="E63" s="1763"/>
      <c r="F63" s="1763"/>
      <c r="G63" s="1763"/>
      <c r="H63" s="1763"/>
      <c r="I63" s="1763"/>
      <c r="J63" s="1763"/>
      <c r="K63" s="1763"/>
      <c r="L63" s="329"/>
      <c r="M63" s="329"/>
      <c r="N63" s="329"/>
      <c r="O63" s="54"/>
      <c r="P63" s="54"/>
    </row>
    <row r="64" spans="1:17" ht="27.75" customHeight="1" x14ac:dyDescent="0.2">
      <c r="A64" s="1735"/>
      <c r="B64" s="1735"/>
      <c r="C64" s="1735"/>
      <c r="D64" s="1735"/>
      <c r="E64" s="1735"/>
      <c r="F64" s="1735"/>
      <c r="G64" s="1735"/>
      <c r="H64" s="1735"/>
      <c r="I64" s="1735"/>
      <c r="J64" s="1735"/>
      <c r="K64" s="1735"/>
      <c r="L64" s="1735"/>
      <c r="M64" s="1735"/>
      <c r="N64" s="1735"/>
      <c r="O64" s="54"/>
      <c r="P64" s="54"/>
    </row>
    <row r="65" spans="1:17" ht="27.75" customHeight="1" x14ac:dyDescent="0.2">
      <c r="A65" s="1735"/>
      <c r="B65" s="1735"/>
      <c r="C65" s="1735"/>
      <c r="D65" s="1735"/>
      <c r="E65" s="1735"/>
      <c r="F65" s="1735"/>
      <c r="G65" s="1735"/>
      <c r="H65" s="1735"/>
      <c r="I65" s="1735"/>
      <c r="J65" s="1735"/>
      <c r="K65" s="1735"/>
      <c r="L65" s="1735"/>
      <c r="M65" s="1735"/>
      <c r="N65" s="1735"/>
      <c r="O65" s="54"/>
      <c r="P65" s="54"/>
    </row>
    <row r="66" spans="1:17" ht="27.75" customHeight="1" x14ac:dyDescent="0.2">
      <c r="A66" s="1735"/>
      <c r="B66" s="1735"/>
      <c r="C66" s="1735"/>
      <c r="D66" s="1735"/>
      <c r="E66" s="1735"/>
      <c r="F66" s="1735"/>
      <c r="G66" s="1735"/>
      <c r="H66" s="1735"/>
      <c r="I66" s="1735"/>
      <c r="J66" s="1735"/>
      <c r="K66" s="1735"/>
      <c r="L66" s="1735"/>
      <c r="M66" s="1735"/>
      <c r="N66" s="1735"/>
      <c r="O66" s="54"/>
      <c r="P66" s="54"/>
    </row>
    <row r="67" spans="1:17" x14ac:dyDescent="0.2">
      <c r="A67" s="55"/>
      <c r="B67" s="54"/>
      <c r="C67" s="56"/>
      <c r="D67" s="54"/>
      <c r="E67" s="56"/>
      <c r="F67" s="54"/>
      <c r="G67" s="56"/>
      <c r="H67" s="54"/>
      <c r="I67" s="56"/>
      <c r="J67" s="54"/>
      <c r="K67" s="56"/>
      <c r="L67" s="54"/>
      <c r="M67" s="56"/>
      <c r="N67" s="54"/>
      <c r="O67" s="54"/>
      <c r="P67" s="54"/>
    </row>
    <row r="68" spans="1:17" x14ac:dyDescent="0.2">
      <c r="A68" s="55"/>
      <c r="B68" s="54"/>
      <c r="C68" s="54"/>
      <c r="D68" s="54"/>
      <c r="E68" s="54"/>
      <c r="F68" s="54"/>
      <c r="G68" s="54"/>
      <c r="H68" s="54"/>
      <c r="I68" s="54"/>
      <c r="J68" s="54"/>
      <c r="K68" s="54"/>
      <c r="L68" s="54"/>
      <c r="M68" s="54"/>
      <c r="N68" s="54"/>
      <c r="O68" s="54"/>
      <c r="P68" s="54"/>
    </row>
    <row r="69" spans="1:17" x14ac:dyDescent="0.2">
      <c r="A69" s="55"/>
      <c r="B69" s="54"/>
      <c r="C69" s="56"/>
      <c r="D69" s="54"/>
      <c r="E69" s="56"/>
      <c r="F69" s="54"/>
      <c r="G69" s="56"/>
      <c r="H69" s="54"/>
      <c r="I69" s="56"/>
      <c r="J69" s="54"/>
      <c r="K69" s="56"/>
      <c r="L69" s="54"/>
      <c r="M69" s="56"/>
      <c r="N69" s="54"/>
      <c r="O69" s="54"/>
      <c r="P69" s="54"/>
    </row>
    <row r="70" spans="1:17" x14ac:dyDescent="0.2">
      <c r="A70" s="55"/>
      <c r="B70" s="54"/>
      <c r="C70" s="54"/>
      <c r="D70" s="54"/>
      <c r="E70" s="54"/>
      <c r="F70" s="54"/>
      <c r="G70" s="54"/>
      <c r="H70" s="54"/>
      <c r="I70" s="54"/>
      <c r="J70" s="54"/>
      <c r="K70" s="54"/>
      <c r="L70" s="54"/>
      <c r="M70" s="54"/>
      <c r="N70" s="54"/>
      <c r="O70" s="54"/>
      <c r="P70" s="54"/>
    </row>
    <row r="71" spans="1:17" x14ac:dyDescent="0.2">
      <c r="A71" s="55"/>
      <c r="B71" s="54"/>
      <c r="C71" s="56"/>
      <c r="D71" s="54"/>
      <c r="E71" s="56"/>
      <c r="F71" s="54"/>
      <c r="G71" s="56"/>
      <c r="H71" s="54"/>
      <c r="I71" s="56"/>
      <c r="J71" s="54"/>
      <c r="K71" s="56"/>
      <c r="L71" s="54"/>
      <c r="M71" s="56"/>
      <c r="N71" s="54"/>
      <c r="O71" s="54"/>
      <c r="P71" s="54"/>
    </row>
    <row r="72" spans="1:17" x14ac:dyDescent="0.2">
      <c r="A72" s="55"/>
      <c r="B72" s="54"/>
      <c r="C72" s="54"/>
      <c r="D72" s="54"/>
      <c r="E72" s="54"/>
      <c r="F72" s="54"/>
      <c r="G72" s="54"/>
      <c r="H72" s="54"/>
      <c r="I72" s="54"/>
      <c r="J72" s="54"/>
      <c r="K72" s="54"/>
      <c r="L72" s="54"/>
      <c r="M72" s="54"/>
      <c r="N72" s="54"/>
      <c r="O72" s="54"/>
      <c r="P72" s="54"/>
    </row>
    <row r="73" spans="1:17" x14ac:dyDescent="0.2">
      <c r="A73" s="55"/>
      <c r="B73" s="54"/>
      <c r="C73" s="54"/>
      <c r="D73" s="54"/>
      <c r="E73" s="54"/>
      <c r="F73" s="54"/>
      <c r="G73" s="54"/>
      <c r="H73" s="54"/>
      <c r="I73" s="54"/>
      <c r="J73" s="54"/>
      <c r="K73" s="54"/>
      <c r="L73" s="54"/>
      <c r="M73" s="54"/>
      <c r="N73" s="54"/>
      <c r="O73" s="54"/>
      <c r="P73" s="54"/>
    </row>
    <row r="74" spans="1:17" x14ac:dyDescent="0.2">
      <c r="A74" s="55"/>
      <c r="B74" s="54"/>
      <c r="C74" s="54"/>
      <c r="D74" s="54"/>
      <c r="E74" s="54"/>
      <c r="F74" s="54"/>
      <c r="G74" s="54"/>
      <c r="H74" s="54"/>
      <c r="I74" s="54"/>
      <c r="J74" s="54"/>
      <c r="K74" s="54"/>
      <c r="L74" s="54"/>
      <c r="M74" s="54"/>
      <c r="N74" s="54"/>
      <c r="O74" s="54"/>
      <c r="P74" s="54"/>
      <c r="Q74" s="57"/>
    </row>
    <row r="75" spans="1:17" x14ac:dyDescent="0.2">
      <c r="B75" s="25"/>
      <c r="C75" s="25"/>
      <c r="D75" s="25"/>
      <c r="E75" s="58"/>
      <c r="F75" s="58"/>
      <c r="G75" s="58"/>
      <c r="H75" s="58"/>
    </row>
    <row r="76" spans="1:17" x14ac:dyDescent="0.2">
      <c r="B76" s="25"/>
      <c r="C76" s="25"/>
      <c r="D76" s="25"/>
      <c r="E76" s="58"/>
      <c r="F76" s="58"/>
      <c r="G76" s="58"/>
      <c r="H76" s="58"/>
    </row>
    <row r="77" spans="1:17" x14ac:dyDescent="0.2">
      <c r="B77" s="25"/>
      <c r="C77" s="25"/>
      <c r="D77" s="25"/>
      <c r="E77" s="58"/>
      <c r="F77" s="58"/>
      <c r="G77" s="58"/>
      <c r="H77" s="58"/>
    </row>
    <row r="78" spans="1:17" x14ac:dyDescent="0.2">
      <c r="B78" s="25"/>
      <c r="C78" s="25"/>
      <c r="D78" s="25"/>
      <c r="E78" s="58"/>
      <c r="F78" s="58"/>
      <c r="G78" s="58"/>
      <c r="H78" s="58"/>
    </row>
    <row r="79" spans="1:17" x14ac:dyDescent="0.2">
      <c r="B79" s="25"/>
      <c r="C79" s="25"/>
      <c r="D79" s="25"/>
      <c r="E79" s="58"/>
      <c r="F79" s="58"/>
      <c r="G79" s="58"/>
      <c r="H79" s="58"/>
    </row>
    <row r="80" spans="1:17"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25"/>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sheetData>
  <mergeCells count="10">
    <mergeCell ref="A64:N64"/>
    <mergeCell ref="A65:N65"/>
    <mergeCell ref="A66:N66"/>
    <mergeCell ref="K2:K3"/>
    <mergeCell ref="A57:N57"/>
    <mergeCell ref="A58:K58"/>
    <mergeCell ref="A60:K60"/>
    <mergeCell ref="A61:N61"/>
    <mergeCell ref="A62:N62"/>
    <mergeCell ref="A63:K6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77" fitToHeight="99" pageOrder="overThenDown"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6">
    <pageSetUpPr fitToPage="1"/>
  </sheetPr>
  <dimension ref="A1:Q84"/>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178</v>
      </c>
      <c r="C3" s="10" t="s">
        <v>179</v>
      </c>
      <c r="D3" s="6"/>
      <c r="E3" s="11"/>
      <c r="F3" s="9"/>
      <c r="G3" s="11"/>
      <c r="H3" s="6"/>
      <c r="I3" s="11"/>
      <c r="J3" s="6"/>
      <c r="K3" s="1734"/>
      <c r="L3" s="6"/>
      <c r="M3" s="11"/>
      <c r="N3" s="6"/>
    </row>
    <row r="4" spans="1:16" s="4" customFormat="1" ht="15.75" x14ac:dyDescent="0.25">
      <c r="A4" s="1" t="s">
        <v>180</v>
      </c>
      <c r="B4" s="10" t="s">
        <v>209</v>
      </c>
      <c r="C4" s="10" t="s">
        <v>210</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row>
    <row r="11" spans="1:16" s="37" customFormat="1" x14ac:dyDescent="0.2">
      <c r="A11" s="35" t="s">
        <v>195</v>
      </c>
      <c r="B11" s="36"/>
    </row>
    <row r="12" spans="1:16" s="40" customFormat="1" x14ac:dyDescent="0.2">
      <c r="A12" s="38" t="s">
        <v>196</v>
      </c>
      <c r="B12" s="39"/>
    </row>
    <row r="13" spans="1:16" s="40" customFormat="1" x14ac:dyDescent="0.2">
      <c r="A13" s="41" t="s">
        <v>197</v>
      </c>
      <c r="B13" s="39"/>
      <c r="C13" s="42">
        <v>43</v>
      </c>
      <c r="E13" s="42">
        <v>45</v>
      </c>
      <c r="G13" s="42"/>
      <c r="I13" s="42">
        <v>45</v>
      </c>
      <c r="K13" s="42"/>
      <c r="M13" s="43"/>
    </row>
    <row r="14" spans="1:16" s="40" customFormat="1" x14ac:dyDescent="0.2">
      <c r="A14" s="41" t="s">
        <v>198</v>
      </c>
      <c r="B14" s="39"/>
      <c r="C14" s="42">
        <v>43</v>
      </c>
      <c r="E14" s="42">
        <v>45</v>
      </c>
      <c r="G14" s="42"/>
      <c r="I14" s="42">
        <v>45</v>
      </c>
      <c r="K14" s="42"/>
      <c r="M14" s="43"/>
    </row>
    <row r="15" spans="1:16" s="40" customFormat="1" x14ac:dyDescent="0.2">
      <c r="A15" s="38" t="s">
        <v>199</v>
      </c>
      <c r="B15" s="39"/>
      <c r="E15" s="42"/>
      <c r="M15" s="66"/>
    </row>
    <row r="16" spans="1:16" s="40" customFormat="1" x14ac:dyDescent="0.2">
      <c r="A16" s="41" t="s">
        <v>212</v>
      </c>
      <c r="B16" s="39"/>
      <c r="C16" s="42">
        <v>43</v>
      </c>
      <c r="E16" s="42">
        <v>45</v>
      </c>
      <c r="G16" s="42"/>
      <c r="I16" s="42">
        <v>45</v>
      </c>
      <c r="K16" s="42"/>
      <c r="M16" s="43"/>
    </row>
    <row r="17" spans="1:17" s="40" customFormat="1" x14ac:dyDescent="0.2">
      <c r="A17" s="41" t="s">
        <v>198</v>
      </c>
      <c r="B17" s="39"/>
      <c r="C17" s="42">
        <v>43</v>
      </c>
      <c r="E17" s="42">
        <v>45</v>
      </c>
      <c r="G17" s="42"/>
      <c r="I17" s="42">
        <v>45</v>
      </c>
      <c r="K17" s="42"/>
      <c r="M17" s="43"/>
    </row>
    <row r="18" spans="1:17" s="48" customFormat="1" x14ac:dyDescent="0.2">
      <c r="A18" s="46"/>
      <c r="B18" s="47"/>
      <c r="E18" s="42"/>
    </row>
    <row r="19" spans="1:17" s="48" customFormat="1" x14ac:dyDescent="0.2">
      <c r="A19" s="67"/>
      <c r="B19" s="68"/>
    </row>
    <row r="20" spans="1:17" s="48" customFormat="1" x14ac:dyDescent="0.2">
      <c r="A20" s="69" t="s">
        <v>200</v>
      </c>
      <c r="B20" s="50"/>
      <c r="C20" s="51"/>
      <c r="D20" s="52"/>
      <c r="E20" s="53"/>
      <c r="F20" s="52"/>
      <c r="G20" s="53"/>
      <c r="H20" s="52"/>
      <c r="I20" s="53"/>
      <c r="J20" s="52"/>
      <c r="K20" s="53"/>
      <c r="L20" s="52"/>
      <c r="M20" s="51"/>
      <c r="N20" s="52"/>
    </row>
    <row r="21" spans="1:17" ht="27.75" customHeight="1" x14ac:dyDescent="0.2">
      <c r="A21" s="1738" t="s">
        <v>213</v>
      </c>
      <c r="B21" s="1736"/>
      <c r="C21" s="1737"/>
      <c r="D21" s="1736"/>
      <c r="E21" s="1737"/>
      <c r="F21" s="1736"/>
      <c r="G21" s="1737"/>
      <c r="H21" s="1736"/>
      <c r="I21" s="1737"/>
      <c r="J21" s="1736"/>
      <c r="K21" s="1737"/>
      <c r="L21" s="1736"/>
      <c r="M21" s="1737"/>
      <c r="N21" s="1736"/>
      <c r="O21" s="54"/>
      <c r="P21" s="54"/>
      <c r="Q21" s="951"/>
    </row>
    <row r="22" spans="1:17" ht="27.75" customHeight="1" x14ac:dyDescent="0.2">
      <c r="A22" s="1735"/>
      <c r="B22" s="1736"/>
      <c r="C22" s="1737"/>
      <c r="D22" s="1736"/>
      <c r="E22" s="1737"/>
      <c r="F22" s="1736"/>
      <c r="G22" s="1737"/>
      <c r="H22" s="1736"/>
      <c r="I22" s="1737"/>
      <c r="J22" s="1736"/>
      <c r="K22" s="1737"/>
      <c r="L22" s="1736"/>
      <c r="M22" s="1737"/>
      <c r="N22" s="1736"/>
      <c r="O22" s="54"/>
      <c r="P22" s="54"/>
    </row>
    <row r="23" spans="1:17" ht="27.75" customHeight="1" x14ac:dyDescent="0.2">
      <c r="A23" s="1735"/>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ht="27.75" customHeight="1" x14ac:dyDescent="0.2">
      <c r="A25" s="1735"/>
      <c r="B25" s="1736"/>
      <c r="C25" s="1737"/>
      <c r="D25" s="1736"/>
      <c r="E25" s="1737"/>
      <c r="F25" s="1736"/>
      <c r="G25" s="1737"/>
      <c r="H25" s="1736"/>
      <c r="I25" s="1737"/>
      <c r="J25" s="1736"/>
      <c r="K25" s="1737"/>
      <c r="L25" s="1736"/>
      <c r="M25" s="1737"/>
      <c r="N25" s="1736"/>
      <c r="O25" s="54"/>
      <c r="P25" s="54"/>
    </row>
    <row r="26" spans="1:17" ht="27.75" customHeight="1" x14ac:dyDescent="0.2">
      <c r="A26" s="1735"/>
      <c r="B26" s="1736"/>
      <c r="C26" s="1737"/>
      <c r="D26" s="1736"/>
      <c r="E26" s="1737"/>
      <c r="F26" s="1736"/>
      <c r="G26" s="1737"/>
      <c r="H26" s="1736"/>
      <c r="I26" s="1737"/>
      <c r="J26" s="1736"/>
      <c r="K26" s="1737"/>
      <c r="L26" s="1736"/>
      <c r="M26" s="1737"/>
      <c r="N26" s="1736"/>
      <c r="O26" s="54"/>
      <c r="P26" s="54"/>
    </row>
    <row r="27" spans="1:17" ht="27.75" customHeight="1" x14ac:dyDescent="0.2">
      <c r="A27" s="1735"/>
      <c r="B27" s="1736"/>
      <c r="C27" s="1737"/>
      <c r="D27" s="1736"/>
      <c r="E27" s="1737"/>
      <c r="F27" s="1736"/>
      <c r="G27" s="1737"/>
      <c r="H27" s="1736"/>
      <c r="I27" s="1737"/>
      <c r="J27" s="1736"/>
      <c r="K27" s="1737"/>
      <c r="L27" s="1736"/>
      <c r="M27" s="1737"/>
      <c r="N27" s="1736"/>
      <c r="O27" s="54"/>
      <c r="P27" s="54"/>
    </row>
    <row r="28" spans="1:17" ht="27.75" customHeight="1" x14ac:dyDescent="0.2">
      <c r="A28" s="1735"/>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ht="27.75" customHeight="1" x14ac:dyDescent="0.2">
      <c r="A30" s="1735"/>
      <c r="B30" s="1736"/>
      <c r="C30" s="1737"/>
      <c r="D30" s="1736"/>
      <c r="E30" s="1737"/>
      <c r="F30" s="1736"/>
      <c r="G30" s="1737"/>
      <c r="H30" s="1736"/>
      <c r="I30" s="1737"/>
      <c r="J30" s="1736"/>
      <c r="K30" s="1737"/>
      <c r="L30" s="1736"/>
      <c r="M30" s="1737"/>
      <c r="N30" s="1736"/>
      <c r="O30" s="54"/>
      <c r="P30" s="54"/>
    </row>
    <row r="31" spans="1:17" x14ac:dyDescent="0.2">
      <c r="A31" s="55"/>
      <c r="B31" s="54"/>
      <c r="C31" s="56"/>
      <c r="D31" s="54"/>
      <c r="E31" s="56"/>
      <c r="F31" s="54"/>
      <c r="G31" s="56"/>
      <c r="H31" s="54"/>
      <c r="I31" s="56"/>
      <c r="J31" s="54"/>
      <c r="K31" s="56"/>
      <c r="L31" s="54"/>
      <c r="M31" s="56"/>
      <c r="N31" s="54"/>
      <c r="O31" s="54"/>
      <c r="P31" s="54"/>
    </row>
    <row r="32" spans="1:17" x14ac:dyDescent="0.2">
      <c r="A32" s="55"/>
      <c r="B32" s="54"/>
      <c r="C32" s="54"/>
      <c r="D32" s="54"/>
      <c r="E32" s="54"/>
      <c r="F32" s="54"/>
      <c r="G32" s="54"/>
      <c r="H32" s="54"/>
      <c r="I32" s="54"/>
      <c r="J32" s="54"/>
      <c r="K32" s="54"/>
      <c r="L32" s="54"/>
      <c r="M32" s="54"/>
      <c r="N32" s="54"/>
      <c r="O32" s="54"/>
      <c r="P32" s="54"/>
    </row>
    <row r="33" spans="1:17" x14ac:dyDescent="0.2">
      <c r="A33" s="55"/>
      <c r="B33" s="54"/>
      <c r="C33" s="56"/>
      <c r="D33" s="54"/>
      <c r="E33" s="56"/>
      <c r="F33" s="54"/>
      <c r="G33" s="56"/>
      <c r="H33" s="54"/>
      <c r="I33" s="56"/>
      <c r="J33" s="54"/>
      <c r="K33" s="56"/>
      <c r="L33" s="54"/>
      <c r="M33" s="56"/>
      <c r="N33" s="54"/>
      <c r="O33" s="54"/>
      <c r="P33" s="54"/>
    </row>
    <row r="34" spans="1:17" x14ac:dyDescent="0.2">
      <c r="A34" s="55"/>
      <c r="B34" s="54"/>
      <c r="C34" s="54"/>
      <c r="D34" s="54"/>
      <c r="E34" s="54"/>
      <c r="F34" s="54"/>
      <c r="G34" s="54"/>
      <c r="H34" s="54"/>
      <c r="I34" s="54"/>
      <c r="J34" s="54"/>
      <c r="K34" s="54"/>
      <c r="L34" s="54"/>
      <c r="M34" s="54"/>
      <c r="N34" s="54"/>
      <c r="O34" s="54"/>
      <c r="P34" s="54"/>
    </row>
    <row r="35" spans="1:17" x14ac:dyDescent="0.2">
      <c r="A35" s="55"/>
      <c r="B35" s="54"/>
      <c r="C35" s="56"/>
      <c r="D35" s="54"/>
      <c r="E35" s="56"/>
      <c r="F35" s="54"/>
      <c r="G35" s="56"/>
      <c r="H35" s="54"/>
      <c r="I35" s="56"/>
      <c r="J35" s="54"/>
      <c r="K35" s="56"/>
      <c r="L35" s="54"/>
      <c r="M35" s="56"/>
      <c r="N35" s="54"/>
      <c r="O35" s="54"/>
      <c r="P35" s="54"/>
    </row>
    <row r="36" spans="1:17" x14ac:dyDescent="0.2">
      <c r="A36" s="55"/>
      <c r="B36" s="54"/>
      <c r="C36" s="54"/>
      <c r="D36" s="54"/>
      <c r="E36" s="54"/>
      <c r="F36" s="54"/>
      <c r="G36" s="54"/>
      <c r="H36" s="54"/>
      <c r="I36" s="54"/>
      <c r="J36" s="54"/>
      <c r="K36" s="54"/>
      <c r="L36" s="54"/>
      <c r="M36" s="54"/>
      <c r="N36" s="54"/>
      <c r="O36" s="54"/>
      <c r="P36" s="54"/>
    </row>
    <row r="37" spans="1:17" x14ac:dyDescent="0.2">
      <c r="A37" s="55"/>
      <c r="B37" s="54"/>
      <c r="C37" s="54"/>
      <c r="D37" s="54"/>
      <c r="E37" s="54"/>
      <c r="F37" s="54"/>
      <c r="G37" s="54"/>
      <c r="H37" s="54"/>
      <c r="I37" s="54"/>
      <c r="J37" s="54"/>
      <c r="K37" s="54"/>
      <c r="L37" s="54"/>
      <c r="M37" s="54"/>
      <c r="N37" s="54"/>
      <c r="O37" s="54"/>
      <c r="P37" s="54"/>
    </row>
    <row r="38" spans="1:17" x14ac:dyDescent="0.2">
      <c r="A38" s="55"/>
      <c r="B38" s="54"/>
      <c r="C38" s="54"/>
      <c r="D38" s="54"/>
      <c r="E38" s="54"/>
      <c r="F38" s="54"/>
      <c r="G38" s="54"/>
      <c r="H38" s="54"/>
      <c r="I38" s="54"/>
      <c r="J38" s="54"/>
      <c r="K38" s="54"/>
      <c r="L38" s="54"/>
      <c r="M38" s="54"/>
      <c r="N38" s="54"/>
      <c r="O38" s="54"/>
      <c r="P38" s="54"/>
      <c r="Q38" s="57"/>
    </row>
    <row r="39" spans="1:17" x14ac:dyDescent="0.2">
      <c r="B39" s="25"/>
      <c r="C39" s="25"/>
      <c r="D39" s="25"/>
      <c r="E39" s="58"/>
      <c r="F39" s="58"/>
      <c r="G39" s="58"/>
      <c r="H39" s="58"/>
    </row>
    <row r="40" spans="1:17" x14ac:dyDescent="0.2">
      <c r="B40" s="25"/>
      <c r="C40" s="25"/>
      <c r="D40" s="25"/>
      <c r="E40" s="58"/>
      <c r="F40" s="58"/>
      <c r="G40" s="58"/>
      <c r="H40" s="58"/>
    </row>
    <row r="41" spans="1:17" x14ac:dyDescent="0.2">
      <c r="B41" s="25"/>
      <c r="C41" s="25"/>
      <c r="D41" s="25"/>
      <c r="E41" s="58"/>
      <c r="F41" s="58"/>
      <c r="G41" s="58"/>
      <c r="H41" s="58"/>
    </row>
    <row r="42" spans="1:17" x14ac:dyDescent="0.2">
      <c r="B42" s="25"/>
      <c r="C42" s="25"/>
      <c r="D42" s="25"/>
      <c r="E42" s="58"/>
      <c r="F42" s="58"/>
      <c r="G42" s="58"/>
      <c r="H42" s="58"/>
    </row>
    <row r="43" spans="1:17" x14ac:dyDescent="0.2">
      <c r="B43" s="25"/>
      <c r="C43" s="25"/>
      <c r="D43" s="25"/>
      <c r="E43" s="58"/>
      <c r="F43" s="58"/>
      <c r="G43" s="58"/>
      <c r="H43" s="58"/>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sheetData>
  <mergeCells count="11">
    <mergeCell ref="A27:N27"/>
    <mergeCell ref="A28:N28"/>
    <mergeCell ref="A29:N29"/>
    <mergeCell ref="A30:N30"/>
    <mergeCell ref="K2:K3"/>
    <mergeCell ref="A21:N21"/>
    <mergeCell ref="A22:N22"/>
    <mergeCell ref="A23:N23"/>
    <mergeCell ref="A24:N24"/>
    <mergeCell ref="A25:N25"/>
    <mergeCell ref="A26:N26"/>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3">
    <pageSetUpPr fitToPage="1"/>
  </sheetPr>
  <dimension ref="A1:Q9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4.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1549</v>
      </c>
      <c r="C3" s="10" t="s">
        <v>1550</v>
      </c>
      <c r="D3" s="6"/>
      <c r="E3" s="11"/>
      <c r="F3" s="9"/>
      <c r="G3" s="11"/>
      <c r="H3" s="6"/>
      <c r="I3" s="11"/>
      <c r="J3" s="6"/>
      <c r="K3" s="1734"/>
      <c r="L3" s="6"/>
      <c r="M3" s="11"/>
      <c r="N3" s="6"/>
    </row>
    <row r="4" spans="1:16" s="4" customFormat="1" ht="15.75" x14ac:dyDescent="0.25">
      <c r="A4" s="1" t="s">
        <v>180</v>
      </c>
      <c r="B4" s="10" t="s">
        <v>603</v>
      </c>
      <c r="C4" s="10" t="s">
        <v>604</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c r="C10" s="87"/>
      <c r="D10" s="87"/>
      <c r="E10" s="87"/>
      <c r="F10" s="87"/>
      <c r="G10" s="87"/>
      <c r="H10" s="87"/>
      <c r="I10" s="87"/>
      <c r="J10" s="87"/>
      <c r="K10" s="87"/>
      <c r="L10" s="87"/>
    </row>
    <row r="11" spans="1:16" s="40" customFormat="1" x14ac:dyDescent="0.2">
      <c r="A11" s="35" t="s">
        <v>1744</v>
      </c>
      <c r="B11" s="39"/>
      <c r="C11" s="63"/>
      <c r="D11" s="63"/>
      <c r="E11" s="63"/>
      <c r="F11" s="63"/>
      <c r="G11" s="63"/>
      <c r="H11" s="63"/>
      <c r="I11" s="63"/>
      <c r="J11" s="63"/>
      <c r="K11" s="63"/>
      <c r="L11" s="63"/>
    </row>
    <row r="12" spans="1:16" s="40" customFormat="1" x14ac:dyDescent="0.2">
      <c r="A12" s="41" t="s">
        <v>332</v>
      </c>
      <c r="B12" s="39"/>
      <c r="C12" s="76">
        <v>1254</v>
      </c>
      <c r="D12" s="63"/>
      <c r="E12" s="76">
        <v>1332</v>
      </c>
      <c r="F12" s="63"/>
      <c r="G12" s="76"/>
      <c r="H12" s="63"/>
      <c r="I12" s="76">
        <v>1332</v>
      </c>
      <c r="J12" s="63"/>
      <c r="K12" s="76"/>
      <c r="L12" s="63"/>
      <c r="M12" s="78"/>
      <c r="N12" s="78"/>
    </row>
    <row r="13" spans="1:16" s="40" customFormat="1" x14ac:dyDescent="0.2">
      <c r="A13" s="41" t="s">
        <v>256</v>
      </c>
      <c r="B13" s="39"/>
      <c r="C13" s="400">
        <f>C12/7368</f>
        <v>0.17019543973941367</v>
      </c>
      <c r="D13" s="400"/>
      <c r="E13" s="400">
        <f>E12/7398</f>
        <v>0.18004866180048662</v>
      </c>
      <c r="F13" s="63"/>
      <c r="G13" s="100"/>
      <c r="H13" s="63"/>
      <c r="I13" s="100">
        <f>I12/7441</f>
        <v>0.17900819782287328</v>
      </c>
      <c r="J13" s="63"/>
      <c r="K13" s="100"/>
      <c r="L13" s="63"/>
      <c r="M13" s="441"/>
      <c r="N13" s="78"/>
    </row>
    <row r="14" spans="1:16" s="40" customFormat="1" x14ac:dyDescent="0.2">
      <c r="A14" s="41" t="s">
        <v>257</v>
      </c>
      <c r="B14" s="39"/>
      <c r="C14" s="76">
        <v>981</v>
      </c>
      <c r="D14" s="63"/>
      <c r="E14" s="76">
        <v>1004</v>
      </c>
      <c r="F14" s="63"/>
      <c r="G14" s="76"/>
      <c r="H14" s="63"/>
      <c r="I14" s="76">
        <v>1004</v>
      </c>
      <c r="J14" s="63"/>
      <c r="K14" s="76"/>
      <c r="L14" s="63"/>
      <c r="M14" s="78"/>
      <c r="N14" s="78"/>
    </row>
    <row r="15" spans="1:16" s="40" customFormat="1" x14ac:dyDescent="0.2">
      <c r="A15" s="41" t="s">
        <v>258</v>
      </c>
      <c r="B15" s="39"/>
      <c r="C15" s="400">
        <f>C14/7368</f>
        <v>0.13314332247557004</v>
      </c>
      <c r="D15" s="400"/>
      <c r="E15" s="400">
        <f>E14/7398</f>
        <v>0.13571235469045689</v>
      </c>
      <c r="F15" s="63"/>
      <c r="G15" s="100"/>
      <c r="H15" s="63"/>
      <c r="I15" s="100">
        <f>I14/7441</f>
        <v>0.13492810106168526</v>
      </c>
      <c r="J15" s="63"/>
      <c r="K15" s="100"/>
      <c r="L15" s="63"/>
      <c r="M15" s="441"/>
      <c r="N15" s="78"/>
    </row>
    <row r="16" spans="1:16" s="40" customFormat="1" x14ac:dyDescent="0.2">
      <c r="A16" s="41" t="s">
        <v>259</v>
      </c>
      <c r="B16" s="39"/>
      <c r="C16" s="76">
        <f>C12+C14</f>
        <v>2235</v>
      </c>
      <c r="D16" s="63"/>
      <c r="E16" s="76">
        <f>E12+E14</f>
        <v>2336</v>
      </c>
      <c r="F16" s="63"/>
      <c r="G16" s="76"/>
      <c r="H16" s="63"/>
      <c r="I16" s="76">
        <f>I12+I14</f>
        <v>2336</v>
      </c>
      <c r="J16" s="63"/>
      <c r="K16" s="76"/>
      <c r="L16" s="63"/>
      <c r="M16" s="78"/>
      <c r="N16" s="78"/>
    </row>
    <row r="17" spans="1:17" s="40" customFormat="1" x14ac:dyDescent="0.2">
      <c r="A17" s="41" t="s">
        <v>260</v>
      </c>
      <c r="B17" s="39"/>
      <c r="C17" s="400">
        <f>C16/7368</f>
        <v>0.30333876221498374</v>
      </c>
      <c r="D17" s="400"/>
      <c r="E17" s="400">
        <f>E16/7398</f>
        <v>0.31576101649094351</v>
      </c>
      <c r="F17" s="63"/>
      <c r="G17" s="100"/>
      <c r="H17" s="63"/>
      <c r="I17" s="100">
        <f>I16/7441</f>
        <v>0.31393629888455854</v>
      </c>
      <c r="J17" s="63"/>
      <c r="K17" s="100"/>
      <c r="L17" s="63"/>
      <c r="M17" s="441"/>
      <c r="N17" s="78"/>
    </row>
    <row r="18" spans="1:17" s="37" customFormat="1" x14ac:dyDescent="0.2">
      <c r="A18" s="35" t="s">
        <v>211</v>
      </c>
      <c r="B18" s="36"/>
      <c r="C18" s="87"/>
      <c r="D18" s="87"/>
      <c r="E18" s="87"/>
      <c r="F18" s="87"/>
      <c r="G18" s="87"/>
      <c r="H18" s="87"/>
      <c r="I18" s="87"/>
      <c r="J18" s="87"/>
      <c r="K18" s="87"/>
      <c r="L18" s="87"/>
      <c r="M18" s="78"/>
      <c r="N18" s="78"/>
    </row>
    <row r="19" spans="1:17" s="37" customFormat="1" x14ac:dyDescent="0.2">
      <c r="A19" s="35" t="s">
        <v>195</v>
      </c>
      <c r="B19" s="36"/>
      <c r="C19" s="87"/>
      <c r="D19" s="87"/>
      <c r="E19" s="87"/>
      <c r="F19" s="87"/>
      <c r="G19" s="87"/>
      <c r="H19" s="87"/>
      <c r="I19" s="87"/>
      <c r="J19" s="87"/>
      <c r="K19" s="87"/>
      <c r="L19" s="87"/>
      <c r="M19" s="78"/>
      <c r="N19" s="78"/>
    </row>
    <row r="20" spans="1:17" s="40" customFormat="1" x14ac:dyDescent="0.2">
      <c r="A20" s="38" t="s">
        <v>196</v>
      </c>
      <c r="B20" s="39"/>
      <c r="C20" s="63"/>
      <c r="D20" s="63"/>
      <c r="E20" s="63"/>
      <c r="F20" s="63"/>
      <c r="G20" s="63"/>
      <c r="H20" s="63"/>
      <c r="I20" s="63"/>
      <c r="J20" s="63"/>
      <c r="K20" s="63"/>
      <c r="L20" s="63"/>
      <c r="M20" s="78"/>
      <c r="N20" s="78"/>
    </row>
    <row r="21" spans="1:17" s="40" customFormat="1" x14ac:dyDescent="0.2">
      <c r="A21" s="41" t="s">
        <v>197</v>
      </c>
      <c r="B21" s="39"/>
      <c r="C21" s="104">
        <v>159</v>
      </c>
      <c r="D21" s="63"/>
      <c r="E21" s="76">
        <v>163</v>
      </c>
      <c r="F21" s="63"/>
      <c r="G21" s="76">
        <v>167</v>
      </c>
      <c r="H21" s="63"/>
      <c r="I21" s="76">
        <v>159</v>
      </c>
      <c r="J21" s="63"/>
      <c r="K21" s="76">
        <v>162</v>
      </c>
      <c r="L21" s="63"/>
      <c r="M21" s="78"/>
      <c r="N21" s="78"/>
    </row>
    <row r="22" spans="1:17" s="40" customFormat="1" x14ac:dyDescent="0.2">
      <c r="A22" s="41" t="s">
        <v>261</v>
      </c>
      <c r="B22" s="39"/>
      <c r="C22" s="104">
        <v>23</v>
      </c>
      <c r="D22" s="63"/>
      <c r="E22" s="76">
        <v>23</v>
      </c>
      <c r="F22" s="63"/>
      <c r="G22" s="76">
        <v>28</v>
      </c>
      <c r="H22" s="63"/>
      <c r="I22" s="76">
        <v>28</v>
      </c>
      <c r="J22" s="63"/>
      <c r="K22" s="76">
        <v>29</v>
      </c>
      <c r="L22" s="63"/>
      <c r="M22" s="78"/>
      <c r="N22" s="78"/>
    </row>
    <row r="23" spans="1:17" s="40" customFormat="1" x14ac:dyDescent="0.2">
      <c r="A23" s="41" t="s">
        <v>198</v>
      </c>
      <c r="B23" s="39"/>
      <c r="C23" s="104">
        <f>SUM(C21:C22)</f>
        <v>182</v>
      </c>
      <c r="D23" s="63"/>
      <c r="E23" s="76">
        <f>SUM(E21:E22)</f>
        <v>186</v>
      </c>
      <c r="F23" s="63"/>
      <c r="G23" s="76">
        <f>SUM(G21:G22)</f>
        <v>195</v>
      </c>
      <c r="H23" s="63"/>
      <c r="I23" s="76">
        <f>SUM(I21:I22)</f>
        <v>187</v>
      </c>
      <c r="J23" s="63"/>
      <c r="K23" s="76">
        <f>SUM(K21:K22)</f>
        <v>191</v>
      </c>
      <c r="L23" s="63"/>
      <c r="M23" s="78"/>
      <c r="N23" s="78"/>
    </row>
    <row r="24" spans="1:17" s="40" customFormat="1" x14ac:dyDescent="0.2">
      <c r="A24" s="38" t="s">
        <v>199</v>
      </c>
      <c r="B24" s="39"/>
      <c r="C24" s="63"/>
      <c r="D24" s="63"/>
      <c r="E24" s="76"/>
      <c r="F24" s="63"/>
      <c r="G24" s="63"/>
      <c r="H24" s="63"/>
      <c r="I24" s="63"/>
      <c r="J24" s="63"/>
      <c r="K24" s="63"/>
      <c r="L24" s="63"/>
      <c r="M24" s="78"/>
      <c r="N24" s="78"/>
    </row>
    <row r="25" spans="1:17" s="40" customFormat="1" x14ac:dyDescent="0.2">
      <c r="A25" s="41" t="s">
        <v>1745</v>
      </c>
      <c r="B25" s="39"/>
      <c r="C25" s="76">
        <v>91</v>
      </c>
      <c r="D25" s="63"/>
      <c r="E25" s="76">
        <v>99</v>
      </c>
      <c r="F25" s="63"/>
      <c r="G25" s="76">
        <v>107</v>
      </c>
      <c r="H25" s="63"/>
      <c r="I25" s="76">
        <v>99</v>
      </c>
      <c r="J25" s="63"/>
      <c r="K25" s="76">
        <v>100</v>
      </c>
      <c r="L25" s="63"/>
      <c r="M25" s="78"/>
      <c r="N25" s="78"/>
    </row>
    <row r="26" spans="1:17" s="40" customFormat="1" x14ac:dyDescent="0.2">
      <c r="A26" s="41" t="s">
        <v>1746</v>
      </c>
      <c r="B26" s="39"/>
      <c r="C26" s="76">
        <v>5</v>
      </c>
      <c r="D26" s="63"/>
      <c r="E26" s="76">
        <v>5</v>
      </c>
      <c r="F26" s="63"/>
      <c r="G26" s="76">
        <v>4</v>
      </c>
      <c r="H26" s="63"/>
      <c r="I26" s="76">
        <v>2</v>
      </c>
      <c r="J26" s="63"/>
      <c r="K26" s="76">
        <v>0</v>
      </c>
      <c r="L26" s="63" t="s">
        <v>737</v>
      </c>
      <c r="M26" s="78"/>
      <c r="N26" s="78"/>
    </row>
    <row r="27" spans="1:17" s="40" customFormat="1" x14ac:dyDescent="0.2">
      <c r="A27" s="41" t="s">
        <v>263</v>
      </c>
      <c r="B27" s="39"/>
      <c r="C27" s="76">
        <v>86</v>
      </c>
      <c r="D27" s="63"/>
      <c r="E27" s="76">
        <v>82</v>
      </c>
      <c r="F27" s="63"/>
      <c r="G27" s="76">
        <v>84</v>
      </c>
      <c r="H27" s="63"/>
      <c r="I27" s="76">
        <v>86</v>
      </c>
      <c r="J27" s="63"/>
      <c r="K27" s="76">
        <v>91</v>
      </c>
      <c r="L27" s="63"/>
      <c r="M27" s="78"/>
      <c r="N27" s="78"/>
    </row>
    <row r="28" spans="1:17" s="40" customFormat="1" x14ac:dyDescent="0.2">
      <c r="A28" s="41" t="s">
        <v>198</v>
      </c>
      <c r="B28" s="39"/>
      <c r="C28" s="104">
        <f>SUM(C25:C27)</f>
        <v>182</v>
      </c>
      <c r="D28" s="63"/>
      <c r="E28" s="76">
        <f>SUM(E25:E27)</f>
        <v>186</v>
      </c>
      <c r="F28" s="63"/>
      <c r="G28" s="76">
        <f>SUM(G25:G27)</f>
        <v>195</v>
      </c>
      <c r="H28" s="63"/>
      <c r="I28" s="76">
        <f>SUM(I25:I27)</f>
        <v>187</v>
      </c>
      <c r="J28" s="63"/>
      <c r="K28" s="76">
        <f>SUM(K25:K27)</f>
        <v>191</v>
      </c>
      <c r="L28" s="63"/>
      <c r="M28" s="78"/>
      <c r="N28" s="78"/>
    </row>
    <row r="29" spans="1:17" s="48" customFormat="1" x14ac:dyDescent="0.2">
      <c r="A29" s="46"/>
      <c r="B29" s="47"/>
      <c r="C29" s="331"/>
      <c r="D29" s="331"/>
      <c r="E29" s="331"/>
      <c r="F29" s="331"/>
      <c r="G29" s="331"/>
      <c r="H29" s="331"/>
      <c r="I29" s="331"/>
      <c r="J29" s="331"/>
      <c r="K29" s="331"/>
      <c r="L29" s="331"/>
      <c r="M29" s="78"/>
      <c r="N29" s="78"/>
    </row>
    <row r="30" spans="1:17" s="48" customFormat="1" x14ac:dyDescent="0.2">
      <c r="A30" s="49" t="s">
        <v>200</v>
      </c>
      <c r="B30" s="50"/>
      <c r="C30" s="51"/>
      <c r="D30" s="52"/>
      <c r="E30" s="53"/>
      <c r="F30" s="52"/>
      <c r="G30" s="53"/>
      <c r="H30" s="52"/>
      <c r="I30" s="53"/>
      <c r="J30" s="52"/>
      <c r="K30" s="53"/>
      <c r="L30" s="52"/>
      <c r="M30" s="51"/>
      <c r="N30" s="52"/>
    </row>
    <row r="31" spans="1:17" ht="27" customHeight="1" x14ac:dyDescent="0.2">
      <c r="A31" s="1738" t="s">
        <v>1747</v>
      </c>
      <c r="B31" s="1736"/>
      <c r="C31" s="1737"/>
      <c r="D31" s="1736"/>
      <c r="E31" s="1737"/>
      <c r="F31" s="1736"/>
      <c r="G31" s="1737"/>
      <c r="H31" s="1736"/>
      <c r="I31" s="1737"/>
      <c r="J31" s="1736"/>
      <c r="K31" s="1737"/>
      <c r="L31" s="1736"/>
      <c r="M31" s="1737"/>
      <c r="N31" s="1736"/>
      <c r="O31" s="54"/>
      <c r="P31" s="54"/>
      <c r="Q31" s="951"/>
    </row>
    <row r="32" spans="1:17" x14ac:dyDescent="0.2">
      <c r="A32" s="1755" t="s">
        <v>1748</v>
      </c>
      <c r="B32" s="1736"/>
      <c r="C32" s="1737"/>
      <c r="D32" s="1736"/>
      <c r="E32" s="1737"/>
      <c r="F32" s="1736"/>
      <c r="G32" s="1737"/>
      <c r="H32" s="1736"/>
      <c r="I32" s="1737"/>
      <c r="J32" s="1736"/>
      <c r="K32" s="1737"/>
      <c r="L32" s="1736"/>
      <c r="M32" s="1737"/>
      <c r="N32" s="1736"/>
      <c r="O32" s="54"/>
      <c r="P32" s="54"/>
    </row>
    <row r="33" spans="1:16" x14ac:dyDescent="0.2">
      <c r="A33" s="1738" t="s">
        <v>1749</v>
      </c>
      <c r="B33" s="1736"/>
      <c r="C33" s="1737"/>
      <c r="D33" s="1736"/>
      <c r="E33" s="1737"/>
      <c r="F33" s="1736"/>
      <c r="G33" s="1737"/>
      <c r="H33" s="1736"/>
      <c r="I33" s="1737"/>
      <c r="J33" s="1736"/>
      <c r="K33" s="1737"/>
      <c r="L33" s="1736"/>
      <c r="M33" s="1737"/>
      <c r="N33" s="1736"/>
      <c r="O33" s="54"/>
      <c r="P33" s="54"/>
    </row>
    <row r="34" spans="1:16" x14ac:dyDescent="0.2">
      <c r="A34" s="282"/>
    </row>
    <row r="35" spans="1:16" x14ac:dyDescent="0.2">
      <c r="O35" s="54"/>
      <c r="P35" s="54"/>
    </row>
    <row r="36" spans="1:16" x14ac:dyDescent="0.2">
      <c r="A36" s="1735"/>
      <c r="B36" s="1736"/>
      <c r="C36" s="1737"/>
      <c r="D36" s="1736"/>
      <c r="E36" s="1737"/>
      <c r="F36" s="1736"/>
      <c r="G36" s="1737"/>
      <c r="H36" s="1736"/>
      <c r="I36" s="1737"/>
      <c r="J36" s="1736"/>
      <c r="K36" s="1737"/>
      <c r="L36" s="1736"/>
      <c r="M36" s="1737"/>
      <c r="N36" s="1736"/>
      <c r="O36" s="54"/>
      <c r="P36" s="54"/>
    </row>
    <row r="37" spans="1:16" x14ac:dyDescent="0.2">
      <c r="A37" s="1735"/>
      <c r="B37" s="1736"/>
      <c r="C37" s="1737"/>
      <c r="D37" s="1736"/>
      <c r="E37" s="1737"/>
      <c r="F37" s="1736"/>
      <c r="G37" s="1737"/>
      <c r="H37" s="1736"/>
      <c r="I37" s="1737"/>
      <c r="J37" s="1736"/>
      <c r="K37" s="1737"/>
      <c r="L37" s="1736"/>
      <c r="M37" s="1737"/>
      <c r="N37" s="1736"/>
      <c r="O37" s="54"/>
      <c r="P37" s="54"/>
    </row>
    <row r="38" spans="1:16" x14ac:dyDescent="0.2">
      <c r="A38" s="1735"/>
      <c r="B38" s="1736"/>
      <c r="C38" s="1737"/>
      <c r="D38" s="1736"/>
      <c r="E38" s="1737"/>
      <c r="F38" s="1736"/>
      <c r="G38" s="1737"/>
      <c r="H38" s="1736"/>
      <c r="I38" s="1737"/>
      <c r="J38" s="1736"/>
      <c r="K38" s="1737"/>
      <c r="L38" s="1736"/>
      <c r="M38" s="1737"/>
      <c r="N38" s="1736"/>
      <c r="O38" s="54"/>
      <c r="P38" s="54"/>
    </row>
    <row r="39" spans="1:16" x14ac:dyDescent="0.2">
      <c r="A39" s="1735"/>
      <c r="B39" s="1736"/>
      <c r="C39" s="1737"/>
      <c r="D39" s="1736"/>
      <c r="E39" s="1737"/>
      <c r="F39" s="1736"/>
      <c r="G39" s="1737"/>
      <c r="H39" s="1736"/>
      <c r="I39" s="1737"/>
      <c r="J39" s="1736"/>
      <c r="K39" s="1737"/>
      <c r="L39" s="1736"/>
      <c r="M39" s="1737"/>
      <c r="N39" s="1736"/>
      <c r="O39" s="54"/>
      <c r="P39" s="54"/>
    </row>
    <row r="40" spans="1:16" x14ac:dyDescent="0.2">
      <c r="A40" s="1735"/>
      <c r="B40" s="1736"/>
      <c r="C40" s="1737"/>
      <c r="D40" s="1736"/>
      <c r="E40" s="1737"/>
      <c r="F40" s="1736"/>
      <c r="G40" s="1737"/>
      <c r="H40" s="1736"/>
      <c r="I40" s="1737"/>
      <c r="J40" s="1736"/>
      <c r="K40" s="1737"/>
      <c r="L40" s="1736"/>
      <c r="M40" s="1737"/>
      <c r="N40" s="1736"/>
      <c r="O40" s="54"/>
      <c r="P40" s="54"/>
    </row>
    <row r="41" spans="1:16" x14ac:dyDescent="0.2">
      <c r="A41" s="1735"/>
      <c r="B41" s="1736"/>
      <c r="C41" s="1737"/>
      <c r="D41" s="1736"/>
      <c r="E41" s="1737"/>
      <c r="F41" s="1736"/>
      <c r="G41" s="1737"/>
      <c r="H41" s="1736"/>
      <c r="I41" s="1737"/>
      <c r="J41" s="1736"/>
      <c r="K41" s="1737"/>
      <c r="L41" s="1736"/>
      <c r="M41" s="1737"/>
      <c r="N41" s="1736"/>
      <c r="O41" s="54"/>
      <c r="P41" s="54"/>
    </row>
    <row r="42" spans="1:16" x14ac:dyDescent="0.2">
      <c r="A42" s="55"/>
      <c r="B42" s="54"/>
      <c r="C42" s="56"/>
      <c r="D42" s="54"/>
      <c r="E42" s="56"/>
      <c r="F42" s="54"/>
      <c r="G42" s="56"/>
      <c r="H42" s="54"/>
      <c r="I42" s="56"/>
      <c r="J42" s="54"/>
      <c r="K42" s="56"/>
      <c r="L42" s="54"/>
      <c r="M42" s="56"/>
      <c r="N42" s="54"/>
      <c r="O42" s="54"/>
      <c r="P42" s="54"/>
    </row>
    <row r="43" spans="1:16" x14ac:dyDescent="0.2">
      <c r="A43" s="55"/>
      <c r="B43" s="54"/>
      <c r="C43" s="107"/>
      <c r="D43" s="54"/>
      <c r="E43" s="107"/>
      <c r="F43" s="54"/>
      <c r="G43" s="107"/>
      <c r="H43" s="54"/>
      <c r="I43" s="107"/>
      <c r="J43" s="54"/>
      <c r="K43" s="107"/>
      <c r="L43" s="54"/>
      <c r="M43" s="107"/>
      <c r="N43" s="54"/>
      <c r="O43" s="54"/>
      <c r="P43" s="54"/>
    </row>
    <row r="44" spans="1:16" x14ac:dyDescent="0.2">
      <c r="A44" s="55"/>
      <c r="B44" s="54"/>
      <c r="C44" s="56"/>
      <c r="D44" s="54"/>
      <c r="E44" s="56"/>
      <c r="F44" s="54"/>
      <c r="G44" s="56"/>
      <c r="H44" s="54"/>
      <c r="I44" s="56"/>
      <c r="J44" s="54"/>
      <c r="K44" s="56"/>
      <c r="L44" s="54"/>
      <c r="M44" s="56"/>
      <c r="N44" s="54"/>
      <c r="O44" s="54"/>
      <c r="P44" s="54"/>
    </row>
    <row r="45" spans="1:16" x14ac:dyDescent="0.2">
      <c r="A45" s="55"/>
      <c r="B45" s="54"/>
      <c r="C45" s="54"/>
      <c r="D45" s="54"/>
      <c r="E45" s="54"/>
      <c r="F45" s="54"/>
      <c r="G45" s="54"/>
      <c r="H45" s="54"/>
      <c r="I45" s="54"/>
      <c r="J45" s="54"/>
      <c r="K45" s="54"/>
      <c r="L45" s="54"/>
      <c r="M45" s="54"/>
      <c r="N45" s="54"/>
      <c r="O45" s="54"/>
      <c r="P45" s="54"/>
    </row>
    <row r="46" spans="1:16" x14ac:dyDescent="0.2">
      <c r="A46" s="55"/>
      <c r="B46" s="54"/>
      <c r="C46" s="56"/>
      <c r="D46" s="54"/>
      <c r="E46" s="56"/>
      <c r="F46" s="54"/>
      <c r="G46" s="56"/>
      <c r="H46" s="54"/>
      <c r="I46" s="56"/>
      <c r="J46" s="54"/>
      <c r="K46" s="56"/>
      <c r="L46" s="54"/>
      <c r="M46" s="56"/>
      <c r="N46" s="54"/>
      <c r="O46" s="54"/>
      <c r="P46" s="54"/>
    </row>
    <row r="47" spans="1:16" x14ac:dyDescent="0.2">
      <c r="A47" s="55"/>
      <c r="B47" s="54"/>
      <c r="C47" s="54"/>
      <c r="D47" s="54"/>
      <c r="E47" s="54"/>
      <c r="F47" s="54"/>
      <c r="G47" s="54"/>
      <c r="H47" s="54"/>
      <c r="I47" s="54"/>
      <c r="J47" s="54"/>
      <c r="K47" s="54"/>
      <c r="L47" s="54"/>
      <c r="M47" s="54"/>
      <c r="N47" s="54"/>
      <c r="O47" s="54"/>
      <c r="P47" s="54"/>
    </row>
    <row r="48" spans="1:16" x14ac:dyDescent="0.2">
      <c r="A48" s="55"/>
      <c r="B48" s="54"/>
      <c r="C48" s="54"/>
      <c r="D48" s="54"/>
      <c r="E48" s="54"/>
      <c r="F48" s="54"/>
      <c r="G48" s="54"/>
      <c r="H48" s="54"/>
      <c r="I48" s="54"/>
      <c r="J48" s="54"/>
      <c r="K48" s="54"/>
      <c r="L48" s="54"/>
      <c r="M48" s="54"/>
      <c r="N48" s="54"/>
      <c r="O48" s="54"/>
      <c r="P48" s="54"/>
    </row>
    <row r="49" spans="1:17" x14ac:dyDescent="0.2">
      <c r="A49" s="55"/>
      <c r="B49" s="54"/>
      <c r="C49" s="54"/>
      <c r="D49" s="54"/>
      <c r="E49" s="54"/>
      <c r="F49" s="54"/>
      <c r="G49" s="54"/>
      <c r="H49" s="54"/>
      <c r="I49" s="54"/>
      <c r="J49" s="54"/>
      <c r="K49" s="54"/>
      <c r="L49" s="54"/>
      <c r="M49" s="54"/>
      <c r="N49" s="54"/>
      <c r="O49" s="54"/>
      <c r="P49" s="54"/>
      <c r="Q49" s="57"/>
    </row>
    <row r="50" spans="1:17" x14ac:dyDescent="0.2">
      <c r="B50" s="25"/>
      <c r="C50" s="25"/>
      <c r="D50" s="25"/>
      <c r="E50" s="58"/>
      <c r="F50" s="58"/>
      <c r="G50" s="58"/>
      <c r="H50" s="58"/>
    </row>
    <row r="51" spans="1:17" x14ac:dyDescent="0.2">
      <c r="B51" s="25"/>
      <c r="C51" s="25"/>
      <c r="D51" s="25"/>
      <c r="E51" s="58"/>
      <c r="F51" s="58"/>
      <c r="G51" s="58"/>
      <c r="H51" s="58"/>
    </row>
    <row r="52" spans="1:17" x14ac:dyDescent="0.2">
      <c r="B52" s="25"/>
      <c r="C52" s="25"/>
      <c r="D52" s="25"/>
      <c r="E52" s="58"/>
      <c r="F52" s="58"/>
      <c r="G52" s="58"/>
      <c r="H52" s="58"/>
    </row>
    <row r="53" spans="1:17" x14ac:dyDescent="0.2">
      <c r="B53" s="25"/>
      <c r="C53" s="25"/>
      <c r="D53" s="25"/>
      <c r="E53" s="58"/>
      <c r="F53" s="58"/>
      <c r="G53" s="58"/>
      <c r="H53" s="58"/>
    </row>
    <row r="54" spans="1:17" x14ac:dyDescent="0.2">
      <c r="B54" s="25"/>
      <c r="C54" s="25"/>
      <c r="D54" s="25"/>
      <c r="E54" s="58"/>
      <c r="F54" s="58"/>
      <c r="G54" s="58"/>
      <c r="H54" s="58"/>
    </row>
    <row r="55" spans="1:17" x14ac:dyDescent="0.2">
      <c r="B55" s="25"/>
      <c r="C55" s="25"/>
      <c r="D55" s="25"/>
      <c r="E55" s="58"/>
      <c r="F55" s="58"/>
      <c r="G55" s="58"/>
      <c r="H55" s="58"/>
    </row>
    <row r="56" spans="1:17" x14ac:dyDescent="0.2">
      <c r="B56" s="25"/>
      <c r="C56" s="25"/>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row r="94" spans="2:2" x14ac:dyDescent="0.2">
      <c r="B94" s="25"/>
    </row>
    <row r="95" spans="2:2" x14ac:dyDescent="0.2">
      <c r="B95" s="25"/>
    </row>
  </sheetData>
  <mergeCells count="10">
    <mergeCell ref="A39:N39"/>
    <mergeCell ref="A40:N40"/>
    <mergeCell ref="A41:N41"/>
    <mergeCell ref="K2:K3"/>
    <mergeCell ref="A31:N31"/>
    <mergeCell ref="A32:N32"/>
    <mergeCell ref="A33:N33"/>
    <mergeCell ref="A36:N36"/>
    <mergeCell ref="A37:N37"/>
    <mergeCell ref="A38:N38"/>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4">
    <pageSetUpPr fitToPage="1"/>
  </sheetPr>
  <dimension ref="A1:Q9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0.5703125" style="59" customWidth="1"/>
    <col min="12" max="12" width="2.85546875" style="60"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1549</v>
      </c>
      <c r="C3" s="10" t="s">
        <v>1550</v>
      </c>
      <c r="D3" s="6"/>
      <c r="E3" s="11"/>
      <c r="F3" s="9"/>
      <c r="G3" s="11"/>
      <c r="H3" s="6"/>
      <c r="I3" s="11"/>
      <c r="J3" s="6"/>
      <c r="K3" s="1734"/>
      <c r="L3" s="6"/>
      <c r="M3" s="11"/>
      <c r="N3" s="6"/>
    </row>
    <row r="4" spans="1:16" s="4" customFormat="1" ht="15.75" x14ac:dyDescent="0.25">
      <c r="A4" s="1" t="s">
        <v>180</v>
      </c>
      <c r="B4" s="10" t="s">
        <v>1496</v>
      </c>
      <c r="C4" s="10" t="s">
        <v>36</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73"/>
      <c r="D10" s="73"/>
    </row>
    <row r="11" spans="1:16" s="37" customFormat="1" x14ac:dyDescent="0.2">
      <c r="A11" s="35" t="s">
        <v>1750</v>
      </c>
      <c r="B11" s="36"/>
      <c r="C11" s="73"/>
      <c r="D11" s="73"/>
    </row>
    <row r="12" spans="1:16" s="40" customFormat="1" x14ac:dyDescent="0.2">
      <c r="A12" s="41" t="s">
        <v>1751</v>
      </c>
      <c r="B12" s="39"/>
      <c r="C12" s="1087">
        <v>1854</v>
      </c>
      <c r="D12" s="74"/>
      <c r="E12" s="1088">
        <v>1729</v>
      </c>
      <c r="G12" s="76">
        <v>1875</v>
      </c>
      <c r="I12" s="76">
        <v>1875</v>
      </c>
      <c r="K12" s="77">
        <v>1850</v>
      </c>
      <c r="M12" s="76"/>
    </row>
    <row r="13" spans="1:16" s="40" customFormat="1" x14ac:dyDescent="0.2">
      <c r="A13" s="41" t="s">
        <v>1752</v>
      </c>
      <c r="B13" s="39"/>
      <c r="C13" s="1087">
        <v>1599</v>
      </c>
      <c r="D13" s="74"/>
      <c r="E13" s="1088">
        <v>1512</v>
      </c>
      <c r="G13" s="76">
        <v>1790</v>
      </c>
      <c r="I13" s="76">
        <v>1790</v>
      </c>
      <c r="K13" s="77">
        <v>1750</v>
      </c>
      <c r="M13" s="76"/>
    </row>
    <row r="14" spans="1:16" s="40" customFormat="1" x14ac:dyDescent="0.2">
      <c r="A14" s="41" t="s">
        <v>1753</v>
      </c>
      <c r="B14" s="39"/>
      <c r="C14" s="1087">
        <v>14</v>
      </c>
      <c r="D14" s="74"/>
      <c r="E14" s="1088">
        <v>27</v>
      </c>
      <c r="G14" s="76">
        <v>24</v>
      </c>
      <c r="I14" s="76">
        <v>24</v>
      </c>
      <c r="K14" s="77">
        <v>24</v>
      </c>
      <c r="M14" s="76"/>
    </row>
    <row r="15" spans="1:16" s="40" customFormat="1" x14ac:dyDescent="0.2">
      <c r="A15" s="41" t="s">
        <v>1754</v>
      </c>
      <c r="B15" s="39"/>
      <c r="C15" s="1087">
        <v>65</v>
      </c>
      <c r="D15" s="74"/>
      <c r="E15" s="1088">
        <v>46</v>
      </c>
      <c r="G15" s="76">
        <v>60</v>
      </c>
      <c r="I15" s="76">
        <v>60</v>
      </c>
      <c r="K15" s="77">
        <v>55</v>
      </c>
      <c r="M15" s="76"/>
    </row>
    <row r="16" spans="1:16" s="40" customFormat="1" x14ac:dyDescent="0.2">
      <c r="A16" s="41" t="s">
        <v>1755</v>
      </c>
      <c r="B16" s="39"/>
      <c r="C16" s="1087">
        <v>16114</v>
      </c>
      <c r="D16" s="74"/>
      <c r="E16" s="1088">
        <v>16394</v>
      </c>
      <c r="G16" s="76">
        <v>16655</v>
      </c>
      <c r="I16" s="76">
        <v>16655</v>
      </c>
      <c r="K16" s="77">
        <v>16655</v>
      </c>
      <c r="M16" s="76"/>
    </row>
    <row r="17" spans="1:13" s="40" customFormat="1" x14ac:dyDescent="0.2">
      <c r="A17" s="41" t="s">
        <v>1756</v>
      </c>
      <c r="B17" s="39"/>
      <c r="C17" s="1087">
        <v>11231</v>
      </c>
      <c r="D17" s="74"/>
      <c r="E17" s="1088">
        <v>9382</v>
      </c>
      <c r="G17" s="76">
        <v>10500</v>
      </c>
      <c r="I17" s="76">
        <v>10500</v>
      </c>
      <c r="K17" s="77">
        <v>10500</v>
      </c>
      <c r="M17" s="76"/>
    </row>
    <row r="18" spans="1:13" s="40" customFormat="1" x14ac:dyDescent="0.2">
      <c r="A18" s="41" t="s">
        <v>1757</v>
      </c>
      <c r="B18" s="39"/>
      <c r="C18" s="1087">
        <v>6259</v>
      </c>
      <c r="D18" s="74"/>
      <c r="E18" s="1088">
        <v>6729</v>
      </c>
      <c r="G18" s="76">
        <v>6175</v>
      </c>
      <c r="I18" s="76">
        <v>6175</v>
      </c>
      <c r="K18" s="77">
        <v>6175</v>
      </c>
      <c r="M18" s="76"/>
    </row>
    <row r="19" spans="1:13" s="40" customFormat="1" x14ac:dyDescent="0.2">
      <c r="A19" s="41" t="s">
        <v>1758</v>
      </c>
      <c r="B19" s="39"/>
      <c r="C19" s="1087">
        <v>6148</v>
      </c>
      <c r="D19" s="74"/>
      <c r="E19" s="1088">
        <v>4851</v>
      </c>
      <c r="G19" s="76">
        <v>5500</v>
      </c>
      <c r="I19" s="76">
        <v>5500</v>
      </c>
      <c r="K19" s="77">
        <v>5500</v>
      </c>
      <c r="M19" s="76"/>
    </row>
    <row r="20" spans="1:13" s="40" customFormat="1" x14ac:dyDescent="0.2">
      <c r="A20" s="41" t="s">
        <v>1759</v>
      </c>
      <c r="B20" s="39"/>
      <c r="C20" s="1087">
        <v>2364</v>
      </c>
      <c r="D20" s="74"/>
      <c r="E20" s="1088">
        <v>2462</v>
      </c>
      <c r="G20" s="76">
        <v>2500</v>
      </c>
      <c r="I20" s="76">
        <v>2500</v>
      </c>
      <c r="K20" s="77">
        <v>2500</v>
      </c>
      <c r="M20" s="76"/>
    </row>
    <row r="21" spans="1:13" s="40" customFormat="1" x14ac:dyDescent="0.2">
      <c r="A21" s="41" t="s">
        <v>1760</v>
      </c>
      <c r="B21" s="39"/>
      <c r="C21" s="1087">
        <v>1552</v>
      </c>
      <c r="D21" s="74"/>
      <c r="E21" s="1088">
        <v>1365</v>
      </c>
      <c r="G21" s="76">
        <v>1670</v>
      </c>
      <c r="I21" s="76">
        <v>1670</v>
      </c>
      <c r="K21" s="77">
        <v>1670</v>
      </c>
      <c r="M21" s="76"/>
    </row>
    <row r="22" spans="1:13" s="40" customFormat="1" x14ac:dyDescent="0.2">
      <c r="A22" s="41" t="s">
        <v>1761</v>
      </c>
      <c r="B22" s="39"/>
      <c r="C22" s="1087">
        <v>6554</v>
      </c>
      <c r="D22" s="74"/>
      <c r="E22" s="1088">
        <v>6230</v>
      </c>
      <c r="G22" s="76">
        <v>6557</v>
      </c>
      <c r="I22" s="76">
        <v>6504</v>
      </c>
      <c r="K22" s="77">
        <v>6490</v>
      </c>
      <c r="M22" s="76"/>
    </row>
    <row r="23" spans="1:13" s="40" customFormat="1" x14ac:dyDescent="0.2">
      <c r="A23" s="41" t="s">
        <v>1762</v>
      </c>
      <c r="B23" s="39"/>
      <c r="C23" s="1087">
        <v>1054</v>
      </c>
      <c r="D23" s="74"/>
      <c r="E23" s="1088">
        <v>1057</v>
      </c>
      <c r="G23" s="76">
        <v>1055</v>
      </c>
      <c r="I23" s="76">
        <v>1055</v>
      </c>
      <c r="K23" s="77">
        <v>1055</v>
      </c>
      <c r="M23" s="76"/>
    </row>
    <row r="24" spans="1:13" s="40" customFormat="1" x14ac:dyDescent="0.2">
      <c r="A24" s="41" t="s">
        <v>1763</v>
      </c>
      <c r="B24" s="39"/>
      <c r="C24" s="1087">
        <v>5155</v>
      </c>
      <c r="D24" s="74"/>
      <c r="E24" s="1088">
        <v>5101</v>
      </c>
      <c r="G24" s="76">
        <v>5154</v>
      </c>
      <c r="I24" s="76">
        <v>5154</v>
      </c>
      <c r="K24" s="77">
        <v>5100</v>
      </c>
      <c r="M24" s="76"/>
    </row>
    <row r="25" spans="1:13" s="40" customFormat="1" x14ac:dyDescent="0.2">
      <c r="A25" s="41" t="s">
        <v>1764</v>
      </c>
      <c r="B25" s="39"/>
      <c r="C25" s="1087">
        <v>863</v>
      </c>
      <c r="D25" s="74"/>
      <c r="E25" s="1088">
        <v>860</v>
      </c>
      <c r="G25" s="76">
        <v>862</v>
      </c>
      <c r="I25" s="76">
        <v>862</v>
      </c>
      <c r="K25" s="77">
        <v>862</v>
      </c>
      <c r="M25" s="76"/>
    </row>
    <row r="26" spans="1:13" s="40" customFormat="1" x14ac:dyDescent="0.2">
      <c r="A26" s="90"/>
      <c r="B26" s="39"/>
      <c r="C26" s="74"/>
      <c r="D26" s="74"/>
      <c r="G26" s="63"/>
      <c r="I26" s="63"/>
    </row>
    <row r="27" spans="1:13" s="37" customFormat="1" x14ac:dyDescent="0.2">
      <c r="A27" s="35" t="s">
        <v>194</v>
      </c>
      <c r="B27" s="36"/>
      <c r="C27" s="73"/>
      <c r="D27" s="73"/>
      <c r="G27" s="87"/>
      <c r="I27" s="87"/>
    </row>
    <row r="28" spans="1:13" s="37" customFormat="1" x14ac:dyDescent="0.2">
      <c r="A28" s="35" t="s">
        <v>195</v>
      </c>
      <c r="B28" s="36"/>
      <c r="C28" s="73"/>
      <c r="D28" s="73"/>
      <c r="G28" s="87"/>
      <c r="I28" s="87"/>
    </row>
    <row r="29" spans="1:13" s="40" customFormat="1" x14ac:dyDescent="0.2">
      <c r="A29" s="38" t="s">
        <v>196</v>
      </c>
      <c r="B29" s="39"/>
      <c r="C29" s="74"/>
      <c r="D29" s="74"/>
      <c r="G29" s="63"/>
      <c r="I29" s="63"/>
    </row>
    <row r="30" spans="1:13" s="40" customFormat="1" x14ac:dyDescent="0.2">
      <c r="A30" s="41" t="s">
        <v>197</v>
      </c>
      <c r="B30" s="39"/>
      <c r="C30" s="78">
        <v>551</v>
      </c>
      <c r="D30" s="74"/>
      <c r="E30" s="78">
        <v>539</v>
      </c>
      <c r="G30" s="76">
        <v>536</v>
      </c>
      <c r="I30" s="76">
        <v>559</v>
      </c>
      <c r="K30" s="77">
        <v>563</v>
      </c>
      <c r="M30" s="76"/>
    </row>
    <row r="31" spans="1:13" s="40" customFormat="1" x14ac:dyDescent="0.2">
      <c r="A31" s="41" t="s">
        <v>333</v>
      </c>
      <c r="B31" s="39"/>
      <c r="C31" s="78">
        <v>250</v>
      </c>
      <c r="D31" s="74"/>
      <c r="E31" s="78">
        <v>244</v>
      </c>
      <c r="G31" s="76">
        <v>245</v>
      </c>
      <c r="I31" s="76">
        <v>222</v>
      </c>
      <c r="K31" s="77">
        <v>233</v>
      </c>
      <c r="M31" s="76"/>
    </row>
    <row r="32" spans="1:13" s="40" customFormat="1" x14ac:dyDescent="0.2">
      <c r="A32" s="41" t="s">
        <v>198</v>
      </c>
      <c r="B32" s="39"/>
      <c r="C32" s="78">
        <f>SUM(C30:C31)</f>
        <v>801</v>
      </c>
      <c r="D32" s="78"/>
      <c r="E32" s="78">
        <f>SUM(E30:E31)</f>
        <v>783</v>
      </c>
      <c r="G32" s="76">
        <f>G30+G31</f>
        <v>781</v>
      </c>
      <c r="H32" s="74" t="s">
        <v>290</v>
      </c>
      <c r="I32" s="76">
        <f>I30+I31</f>
        <v>781</v>
      </c>
      <c r="K32" s="77">
        <f>SUM(K30:K31)</f>
        <v>796</v>
      </c>
      <c r="L32" s="74" t="s">
        <v>290</v>
      </c>
      <c r="M32" s="76"/>
    </row>
    <row r="33" spans="1:17" s="40" customFormat="1" x14ac:dyDescent="0.2">
      <c r="A33" s="38" t="s">
        <v>199</v>
      </c>
      <c r="B33" s="39"/>
      <c r="C33" s="74"/>
      <c r="D33" s="74"/>
      <c r="G33" s="63"/>
      <c r="I33" s="63"/>
      <c r="M33" s="76"/>
    </row>
    <row r="34" spans="1:17" s="40" customFormat="1" x14ac:dyDescent="0.2">
      <c r="A34" s="41" t="s">
        <v>1750</v>
      </c>
      <c r="B34" s="39"/>
      <c r="C34" s="78">
        <v>801</v>
      </c>
      <c r="D34" s="78"/>
      <c r="E34" s="78">
        <f>E32</f>
        <v>783</v>
      </c>
      <c r="G34" s="76">
        <f>G32</f>
        <v>781</v>
      </c>
      <c r="I34" s="76">
        <f>I32</f>
        <v>781</v>
      </c>
      <c r="K34" s="77">
        <v>796</v>
      </c>
      <c r="M34" s="76"/>
    </row>
    <row r="35" spans="1:17" s="40" customFormat="1" x14ac:dyDescent="0.2">
      <c r="A35" s="41" t="s">
        <v>198</v>
      </c>
      <c r="B35" s="39"/>
      <c r="C35" s="78">
        <f>C34</f>
        <v>801</v>
      </c>
      <c r="D35" s="78"/>
      <c r="E35" s="78">
        <f>E34</f>
        <v>783</v>
      </c>
      <c r="G35" s="76">
        <f>G34</f>
        <v>781</v>
      </c>
      <c r="I35" s="76">
        <f>I34</f>
        <v>781</v>
      </c>
      <c r="K35" s="77">
        <f>K34</f>
        <v>796</v>
      </c>
      <c r="M35" s="76"/>
    </row>
    <row r="36" spans="1:17" s="37" customFormat="1" x14ac:dyDescent="0.2">
      <c r="A36" s="35"/>
      <c r="B36" s="36"/>
      <c r="C36" s="73"/>
      <c r="D36" s="73"/>
    </row>
    <row r="37" spans="1:17" s="48" customFormat="1" x14ac:dyDescent="0.2">
      <c r="A37" s="46"/>
      <c r="B37" s="47"/>
    </row>
    <row r="38" spans="1:17" s="48" customFormat="1" x14ac:dyDescent="0.2">
      <c r="A38" s="49" t="s">
        <v>200</v>
      </c>
      <c r="B38" s="50"/>
      <c r="C38" s="51"/>
      <c r="D38" s="52"/>
      <c r="E38" s="53"/>
      <c r="F38" s="52"/>
      <c r="G38" s="53"/>
      <c r="H38" s="52"/>
      <c r="I38" s="53"/>
      <c r="J38" s="52"/>
      <c r="K38" s="53"/>
      <c r="L38" s="52"/>
      <c r="M38" s="51"/>
      <c r="N38" s="52"/>
    </row>
    <row r="39" spans="1:17" ht="27" customHeight="1" x14ac:dyDescent="0.2">
      <c r="A39" s="1738" t="s">
        <v>1719</v>
      </c>
      <c r="B39" s="1736"/>
      <c r="C39" s="1737"/>
      <c r="D39" s="1736"/>
      <c r="E39" s="1737"/>
      <c r="F39" s="1736"/>
      <c r="G39" s="1737"/>
      <c r="H39" s="1736"/>
      <c r="I39" s="1737"/>
      <c r="J39" s="1736"/>
      <c r="K39" s="1737"/>
      <c r="L39" s="1736"/>
      <c r="M39" s="1737"/>
      <c r="N39" s="1736"/>
      <c r="O39" s="54"/>
      <c r="P39" s="54"/>
      <c r="Q39" s="951"/>
    </row>
    <row r="40" spans="1:17" ht="27.75" customHeight="1" x14ac:dyDescent="0.2">
      <c r="A40" s="1738" t="s">
        <v>1765</v>
      </c>
      <c r="B40" s="1738"/>
      <c r="C40" s="1738"/>
      <c r="D40" s="1738"/>
      <c r="E40" s="1738"/>
      <c r="F40" s="1738"/>
      <c r="G40" s="1738"/>
      <c r="H40" s="1738"/>
      <c r="I40" s="1738"/>
      <c r="J40" s="1738"/>
      <c r="K40" s="1738"/>
      <c r="L40" s="1738"/>
      <c r="M40" s="1738"/>
      <c r="N40" s="1738"/>
      <c r="O40" s="54"/>
      <c r="P40" s="54"/>
    </row>
    <row r="42" spans="1:17" ht="27.75" customHeight="1" x14ac:dyDescent="0.2">
      <c r="A42" s="1735"/>
      <c r="B42" s="1736"/>
      <c r="C42" s="1737"/>
      <c r="D42" s="1736"/>
      <c r="E42" s="1737"/>
      <c r="F42" s="1736"/>
      <c r="G42" s="1737"/>
      <c r="H42" s="1736"/>
      <c r="I42" s="1737"/>
      <c r="J42" s="1736"/>
      <c r="K42" s="1737"/>
      <c r="L42" s="1736"/>
      <c r="M42" s="1737"/>
      <c r="N42" s="1736"/>
      <c r="O42" s="54"/>
      <c r="P42" s="54"/>
    </row>
    <row r="43" spans="1:17" ht="27.75" customHeight="1" x14ac:dyDescent="0.2">
      <c r="A43" s="1735"/>
      <c r="B43" s="1736"/>
      <c r="C43" s="1737"/>
      <c r="D43" s="1736"/>
      <c r="E43" s="1737"/>
      <c r="F43" s="1736"/>
      <c r="G43" s="1737"/>
      <c r="H43" s="1736"/>
      <c r="I43" s="1737"/>
      <c r="J43" s="1736"/>
      <c r="K43" s="1737"/>
      <c r="L43" s="1736"/>
      <c r="M43" s="1737"/>
      <c r="N43" s="1736"/>
      <c r="O43" s="54"/>
      <c r="P43" s="54"/>
    </row>
    <row r="44" spans="1:17" ht="27.75" customHeight="1" x14ac:dyDescent="0.2">
      <c r="A44" s="1735"/>
      <c r="B44" s="1736"/>
      <c r="C44" s="1737"/>
      <c r="D44" s="1736"/>
      <c r="E44" s="1737"/>
      <c r="F44" s="1736"/>
      <c r="G44" s="1737"/>
      <c r="H44" s="1736"/>
      <c r="I44" s="1737"/>
      <c r="J44" s="1736"/>
      <c r="K44" s="1737"/>
      <c r="L44" s="1736"/>
      <c r="M44" s="1737"/>
      <c r="N44" s="1736"/>
      <c r="O44" s="54"/>
      <c r="P44" s="54"/>
    </row>
    <row r="45" spans="1:17" ht="27.75" customHeight="1" x14ac:dyDescent="0.2">
      <c r="A45" s="1735"/>
      <c r="B45" s="1736"/>
      <c r="C45" s="1737"/>
      <c r="D45" s="1736"/>
      <c r="E45" s="1737"/>
      <c r="F45" s="1736"/>
      <c r="G45" s="1737"/>
      <c r="H45" s="1736"/>
      <c r="I45" s="1737"/>
      <c r="J45" s="1736"/>
      <c r="K45" s="1737"/>
      <c r="L45" s="1736"/>
      <c r="M45" s="1737"/>
      <c r="N45" s="1736"/>
      <c r="O45" s="54"/>
      <c r="P45" s="54"/>
    </row>
    <row r="46" spans="1:17" x14ac:dyDescent="0.2">
      <c r="A46" s="55"/>
      <c r="B46" s="54"/>
      <c r="C46" s="56"/>
      <c r="D46" s="54"/>
      <c r="E46" s="56"/>
      <c r="F46" s="54"/>
      <c r="G46" s="56"/>
      <c r="H46" s="54"/>
      <c r="I46" s="56"/>
      <c r="J46" s="54"/>
      <c r="K46" s="56"/>
      <c r="L46" s="54"/>
      <c r="M46" s="56"/>
      <c r="N46" s="54"/>
      <c r="O46" s="54"/>
      <c r="P46" s="54"/>
    </row>
    <row r="47" spans="1:17" x14ac:dyDescent="0.2">
      <c r="A47" s="55"/>
      <c r="B47" s="54"/>
      <c r="C47" s="54"/>
      <c r="D47" s="54"/>
      <c r="E47" s="54"/>
      <c r="F47" s="54"/>
      <c r="G47" s="54"/>
      <c r="H47" s="54"/>
      <c r="I47" s="54"/>
      <c r="J47" s="54"/>
      <c r="K47" s="54"/>
      <c r="L47" s="54"/>
      <c r="M47" s="54"/>
      <c r="N47" s="54"/>
      <c r="O47" s="54"/>
      <c r="P47" s="54"/>
    </row>
    <row r="48" spans="1:17" x14ac:dyDescent="0.2">
      <c r="A48" s="55"/>
      <c r="B48" s="54"/>
      <c r="C48" s="56"/>
      <c r="D48" s="54"/>
      <c r="E48" s="56"/>
      <c r="F48" s="54"/>
      <c r="G48" s="56"/>
      <c r="H48" s="54"/>
      <c r="I48" s="56"/>
      <c r="J48" s="54"/>
      <c r="K48" s="56"/>
      <c r="L48" s="54"/>
      <c r="M48" s="56"/>
      <c r="N48" s="54"/>
      <c r="O48" s="54"/>
      <c r="P48" s="54"/>
    </row>
    <row r="49" spans="1:17" x14ac:dyDescent="0.2">
      <c r="A49" s="55"/>
      <c r="B49" s="54"/>
      <c r="C49" s="54"/>
      <c r="D49" s="54"/>
      <c r="E49" s="54"/>
      <c r="F49" s="54"/>
      <c r="G49" s="54"/>
      <c r="H49" s="54"/>
      <c r="I49" s="54"/>
      <c r="J49" s="54"/>
      <c r="K49" s="54"/>
      <c r="L49" s="54"/>
      <c r="M49" s="54"/>
      <c r="N49" s="54"/>
      <c r="O49" s="54"/>
      <c r="P49" s="54"/>
    </row>
    <row r="50" spans="1:17" x14ac:dyDescent="0.2">
      <c r="A50" s="55"/>
      <c r="B50" s="54"/>
      <c r="C50" s="56"/>
      <c r="D50" s="54"/>
      <c r="E50" s="56"/>
      <c r="F50" s="54"/>
      <c r="G50" s="56"/>
      <c r="H50" s="54"/>
      <c r="I50" s="56"/>
      <c r="J50" s="54"/>
      <c r="K50" s="56"/>
      <c r="L50" s="54"/>
      <c r="M50" s="56"/>
      <c r="N50" s="54"/>
      <c r="O50" s="54"/>
      <c r="P50" s="54"/>
    </row>
    <row r="51" spans="1:17" x14ac:dyDescent="0.2">
      <c r="A51" s="55"/>
      <c r="B51" s="54"/>
      <c r="C51" s="54"/>
      <c r="D51" s="54"/>
      <c r="E51" s="54"/>
      <c r="F51" s="54"/>
      <c r="G51" s="54"/>
      <c r="H51" s="54"/>
      <c r="I51" s="54"/>
      <c r="J51" s="54"/>
      <c r="K51" s="54"/>
      <c r="L51" s="54"/>
      <c r="M51" s="54"/>
      <c r="N51" s="54"/>
      <c r="O51" s="54"/>
      <c r="P51" s="54"/>
    </row>
    <row r="52" spans="1:17" x14ac:dyDescent="0.2">
      <c r="A52" s="55"/>
      <c r="B52" s="54"/>
      <c r="C52" s="54"/>
      <c r="D52" s="54"/>
      <c r="E52" s="54"/>
      <c r="F52" s="54"/>
      <c r="G52" s="54"/>
      <c r="H52" s="54"/>
      <c r="I52" s="54"/>
      <c r="J52" s="54"/>
      <c r="K52" s="54"/>
      <c r="L52" s="54"/>
      <c r="M52" s="54"/>
      <c r="N52" s="54"/>
      <c r="O52" s="54"/>
      <c r="P52" s="54"/>
    </row>
    <row r="53" spans="1:17" x14ac:dyDescent="0.2">
      <c r="A53" s="55"/>
      <c r="B53" s="54"/>
      <c r="C53" s="54"/>
      <c r="D53" s="54"/>
      <c r="E53" s="54"/>
      <c r="F53" s="54"/>
      <c r="G53" s="54"/>
      <c r="H53" s="54"/>
      <c r="I53" s="54"/>
      <c r="J53" s="54"/>
      <c r="K53" s="54"/>
      <c r="L53" s="54"/>
      <c r="M53" s="54"/>
      <c r="N53" s="54"/>
      <c r="O53" s="54"/>
      <c r="P53" s="54"/>
      <c r="Q53" s="57"/>
    </row>
    <row r="54" spans="1:17" x14ac:dyDescent="0.2">
      <c r="B54" s="25"/>
      <c r="C54" s="25"/>
      <c r="D54" s="25"/>
      <c r="E54" s="58"/>
      <c r="F54" s="58"/>
      <c r="G54" s="58"/>
      <c r="H54" s="58"/>
    </row>
    <row r="55" spans="1:17" x14ac:dyDescent="0.2">
      <c r="B55" s="25"/>
      <c r="C55" s="25"/>
      <c r="D55" s="25"/>
      <c r="E55" s="58"/>
      <c r="F55" s="58"/>
      <c r="G55" s="58"/>
      <c r="H55" s="58"/>
    </row>
    <row r="56" spans="1:17" x14ac:dyDescent="0.2">
      <c r="B56" s="25"/>
      <c r="C56" s="25"/>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sheetData>
  <mergeCells count="7">
    <mergeCell ref="A44:N44"/>
    <mergeCell ref="A45:N45"/>
    <mergeCell ref="K2:K3"/>
    <mergeCell ref="A39:N39"/>
    <mergeCell ref="A40:N40"/>
    <mergeCell ref="A42:N42"/>
    <mergeCell ref="A43:N4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9" fitToHeight="99" pageOrder="overThenDown" orientation="portrait" blackAndWhite="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5">
    <pageSetUpPr fitToPage="1"/>
  </sheetPr>
  <dimension ref="A1:Q15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1.42578125" style="59" customWidth="1"/>
    <col min="10" max="10" width="2.5703125" style="60" customWidth="1"/>
    <col min="11" max="11" width="13.7109375" style="59" customWidth="1"/>
    <col min="12" max="12" width="2.5703125" style="60" customWidth="1"/>
    <col min="13" max="13" width="13.7109375" style="59" hidden="1" customWidth="1"/>
    <col min="14" max="14" width="0"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1549</v>
      </c>
      <c r="C3" s="10" t="s">
        <v>1550</v>
      </c>
      <c r="D3" s="6"/>
      <c r="E3" s="11"/>
      <c r="F3" s="9"/>
      <c r="G3" s="11"/>
      <c r="H3" s="6"/>
      <c r="I3" s="11"/>
      <c r="J3" s="6"/>
      <c r="K3" s="1734"/>
      <c r="L3" s="6"/>
      <c r="M3" s="11"/>
      <c r="N3" s="6"/>
    </row>
    <row r="4" spans="1:16" s="4" customFormat="1" ht="15.75" x14ac:dyDescent="0.25">
      <c r="A4" s="1" t="s">
        <v>180</v>
      </c>
      <c r="B4" s="10" t="s">
        <v>1766</v>
      </c>
      <c r="C4" s="10" t="s">
        <v>40</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1767</v>
      </c>
      <c r="B11" s="36"/>
    </row>
    <row r="12" spans="1:16" s="40" customFormat="1" x14ac:dyDescent="0.2">
      <c r="A12" s="41" t="s">
        <v>1768</v>
      </c>
      <c r="B12" s="39"/>
    </row>
    <row r="13" spans="1:16" s="40" customFormat="1" x14ac:dyDescent="0.2">
      <c r="A13" s="90" t="s">
        <v>1769</v>
      </c>
      <c r="B13" s="39"/>
      <c r="C13" s="244">
        <v>1614</v>
      </c>
      <c r="D13" s="663"/>
      <c r="E13" s="244">
        <v>1531</v>
      </c>
      <c r="G13" s="77">
        <v>1662</v>
      </c>
      <c r="I13" s="244">
        <v>1600</v>
      </c>
      <c r="K13" s="244">
        <v>1600</v>
      </c>
      <c r="M13" s="76"/>
    </row>
    <row r="14" spans="1:16" s="40" customFormat="1" x14ac:dyDescent="0.2">
      <c r="A14" s="131" t="s">
        <v>1770</v>
      </c>
      <c r="B14" s="39"/>
      <c r="C14" s="244">
        <v>82636</v>
      </c>
      <c r="D14" s="663"/>
      <c r="E14" s="244">
        <v>86853</v>
      </c>
      <c r="G14" s="77">
        <v>85000</v>
      </c>
      <c r="I14" s="244">
        <v>85000</v>
      </c>
      <c r="K14" s="244">
        <v>85000</v>
      </c>
      <c r="M14" s="76"/>
    </row>
    <row r="15" spans="1:16" s="40" customFormat="1" ht="14.25" x14ac:dyDescent="0.2">
      <c r="A15" s="131" t="s">
        <v>1771</v>
      </c>
      <c r="B15" s="39"/>
      <c r="C15" s="1089">
        <v>2518764</v>
      </c>
      <c r="D15" s="663"/>
      <c r="E15" s="1089">
        <v>2585053</v>
      </c>
      <c r="G15" s="98">
        <v>2500000</v>
      </c>
      <c r="I15" s="1089">
        <v>2200000</v>
      </c>
      <c r="K15" s="1089">
        <v>2200000</v>
      </c>
      <c r="M15" s="97"/>
    </row>
    <row r="16" spans="1:16" s="40" customFormat="1" x14ac:dyDescent="0.2">
      <c r="A16" s="131" t="s">
        <v>1772</v>
      </c>
      <c r="B16" s="39"/>
      <c r="C16" s="244">
        <v>267277</v>
      </c>
      <c r="D16" s="663"/>
      <c r="E16" s="244">
        <v>381009</v>
      </c>
      <c r="G16" s="77">
        <v>270000</v>
      </c>
      <c r="I16" s="244">
        <v>385000</v>
      </c>
      <c r="K16" s="244">
        <v>385000</v>
      </c>
      <c r="M16" s="76"/>
    </row>
    <row r="17" spans="1:15" s="40" customFormat="1" x14ac:dyDescent="0.2">
      <c r="A17" s="41" t="s">
        <v>1773</v>
      </c>
      <c r="B17" s="39"/>
      <c r="C17" s="1090"/>
      <c r="D17" s="663"/>
      <c r="E17" s="1090"/>
      <c r="I17" s="1090"/>
      <c r="K17" s="1090"/>
    </row>
    <row r="18" spans="1:15" s="40" customFormat="1" x14ac:dyDescent="0.2">
      <c r="A18" s="90" t="s">
        <v>1774</v>
      </c>
      <c r="B18" s="39"/>
      <c r="C18" s="244">
        <v>35</v>
      </c>
      <c r="D18" s="663"/>
      <c r="E18" s="244">
        <v>33</v>
      </c>
      <c r="G18" s="77">
        <v>35</v>
      </c>
      <c r="I18" s="244">
        <v>35</v>
      </c>
      <c r="K18" s="244">
        <v>35</v>
      </c>
      <c r="M18" s="76"/>
    </row>
    <row r="19" spans="1:15" s="40" customFormat="1" x14ac:dyDescent="0.2">
      <c r="A19" s="131" t="s">
        <v>1597</v>
      </c>
      <c r="B19" s="39"/>
      <c r="C19" s="244">
        <v>16621</v>
      </c>
      <c r="D19" s="663"/>
      <c r="E19" s="244">
        <v>16403</v>
      </c>
      <c r="G19" s="77">
        <v>16000</v>
      </c>
      <c r="I19" s="244">
        <v>16200</v>
      </c>
      <c r="K19" s="244">
        <v>16200</v>
      </c>
      <c r="M19" s="76"/>
    </row>
    <row r="20" spans="1:15" s="40" customFormat="1" x14ac:dyDescent="0.2">
      <c r="A20" s="131" t="s">
        <v>1775</v>
      </c>
      <c r="B20" s="39"/>
      <c r="C20" s="244">
        <v>62</v>
      </c>
      <c r="D20" s="663"/>
      <c r="E20" s="244">
        <v>58</v>
      </c>
      <c r="G20" s="77">
        <v>65</v>
      </c>
      <c r="I20" s="244">
        <v>60</v>
      </c>
      <c r="K20" s="244">
        <v>60</v>
      </c>
      <c r="M20" s="76"/>
    </row>
    <row r="21" spans="1:15" s="40" customFormat="1" x14ac:dyDescent="0.2">
      <c r="A21" s="131" t="s">
        <v>1776</v>
      </c>
      <c r="B21" s="39"/>
      <c r="C21" s="244">
        <v>284827</v>
      </c>
      <c r="D21" s="663"/>
      <c r="E21" s="244">
        <v>278686</v>
      </c>
      <c r="G21" s="77">
        <v>285000</v>
      </c>
      <c r="I21" s="244">
        <v>280000</v>
      </c>
      <c r="K21" s="244">
        <v>280000</v>
      </c>
      <c r="M21" s="76"/>
    </row>
    <row r="22" spans="1:15" s="40" customFormat="1" x14ac:dyDescent="0.2">
      <c r="A22" s="131" t="s">
        <v>1777</v>
      </c>
      <c r="B22" s="39"/>
      <c r="C22" s="244">
        <v>24</v>
      </c>
      <c r="D22" s="663"/>
      <c r="E22" s="244">
        <v>22</v>
      </c>
      <c r="G22" s="77">
        <v>25</v>
      </c>
      <c r="I22" s="244">
        <v>30</v>
      </c>
      <c r="K22" s="244">
        <v>30</v>
      </c>
      <c r="M22" s="76"/>
    </row>
    <row r="23" spans="1:15" s="40" customFormat="1" x14ac:dyDescent="0.2">
      <c r="A23" s="131" t="s">
        <v>1778</v>
      </c>
      <c r="B23" s="39"/>
      <c r="C23" s="244">
        <v>243281</v>
      </c>
      <c r="D23" s="663"/>
      <c r="E23" s="244">
        <v>245504</v>
      </c>
      <c r="G23" s="77">
        <v>245000</v>
      </c>
      <c r="I23" s="244">
        <v>245000</v>
      </c>
      <c r="K23" s="244">
        <v>245000</v>
      </c>
      <c r="M23" s="76"/>
    </row>
    <row r="24" spans="1:15" s="40" customFormat="1" x14ac:dyDescent="0.2">
      <c r="A24" s="41" t="s">
        <v>1779</v>
      </c>
      <c r="B24" s="39"/>
      <c r="C24" s="1090"/>
      <c r="D24" s="663"/>
      <c r="E24" s="1090"/>
      <c r="I24" s="1090"/>
      <c r="K24" s="1090"/>
    </row>
    <row r="25" spans="1:15" s="40" customFormat="1" x14ac:dyDescent="0.2">
      <c r="A25" s="90" t="s">
        <v>1780</v>
      </c>
      <c r="B25" s="39"/>
      <c r="C25" s="244">
        <v>10547</v>
      </c>
      <c r="D25" s="663"/>
      <c r="E25" s="244">
        <v>7379</v>
      </c>
      <c r="G25" s="77">
        <v>10000</v>
      </c>
      <c r="I25" s="244">
        <v>8000</v>
      </c>
      <c r="K25" s="244">
        <v>8000</v>
      </c>
      <c r="M25" s="76"/>
      <c r="N25" s="63"/>
      <c r="O25" s="63"/>
    </row>
    <row r="26" spans="1:15" s="40" customFormat="1" x14ac:dyDescent="0.2">
      <c r="A26" s="1091" t="s">
        <v>1781</v>
      </c>
      <c r="B26" s="39"/>
      <c r="C26" s="244">
        <v>6012</v>
      </c>
      <c r="D26" s="663"/>
      <c r="E26" s="244">
        <v>3710</v>
      </c>
      <c r="G26" s="77">
        <v>5000</v>
      </c>
      <c r="I26" s="244">
        <v>5000</v>
      </c>
      <c r="K26" s="244">
        <v>5000</v>
      </c>
      <c r="M26" s="76"/>
      <c r="N26" s="63"/>
      <c r="O26" s="63"/>
    </row>
    <row r="27" spans="1:15" s="40" customFormat="1" ht="14.25" x14ac:dyDescent="0.2">
      <c r="A27" s="90" t="s">
        <v>1782</v>
      </c>
      <c r="B27" s="39"/>
      <c r="C27" s="1089">
        <v>1344797</v>
      </c>
      <c r="D27" s="663"/>
      <c r="E27" s="1089">
        <v>710876</v>
      </c>
      <c r="F27" s="1092" t="s">
        <v>737</v>
      </c>
      <c r="G27" s="98">
        <v>1000000</v>
      </c>
      <c r="I27" s="1089">
        <v>800000</v>
      </c>
      <c r="K27" s="1089">
        <v>800000</v>
      </c>
      <c r="M27" s="97"/>
      <c r="N27" s="63"/>
      <c r="O27" s="63"/>
    </row>
    <row r="28" spans="1:15" s="40" customFormat="1" ht="14.25" x14ac:dyDescent="0.2">
      <c r="A28" s="90" t="s">
        <v>1783</v>
      </c>
      <c r="B28" s="39"/>
      <c r="C28" s="1089">
        <v>13524570</v>
      </c>
      <c r="D28" s="1092" t="s">
        <v>1784</v>
      </c>
      <c r="E28" s="1089">
        <v>6188159</v>
      </c>
      <c r="G28" s="98">
        <v>5000000</v>
      </c>
      <c r="I28" s="1089">
        <v>5000000</v>
      </c>
      <c r="K28" s="1089">
        <v>5000000</v>
      </c>
      <c r="M28" s="97"/>
      <c r="N28" s="63"/>
      <c r="O28" s="63"/>
    </row>
    <row r="29" spans="1:15" s="40" customFormat="1" ht="24.75" customHeight="1" x14ac:dyDescent="0.2">
      <c r="A29" s="1093" t="s">
        <v>1785</v>
      </c>
      <c r="B29" s="39"/>
      <c r="C29" s="244">
        <v>53449</v>
      </c>
      <c r="D29" s="663"/>
      <c r="E29" s="244">
        <v>53788</v>
      </c>
      <c r="G29" s="77">
        <v>53500</v>
      </c>
      <c r="I29" s="244">
        <v>54000</v>
      </c>
      <c r="K29" s="244">
        <v>54000</v>
      </c>
      <c r="M29" s="76"/>
      <c r="N29" s="63"/>
      <c r="O29" s="63"/>
    </row>
    <row r="30" spans="1:15" s="40" customFormat="1" x14ac:dyDescent="0.2">
      <c r="A30" s="90" t="s">
        <v>1786</v>
      </c>
      <c r="B30" s="39"/>
      <c r="C30" s="244">
        <v>303</v>
      </c>
      <c r="D30" s="663"/>
      <c r="E30" s="244">
        <v>320</v>
      </c>
      <c r="G30" s="77">
        <v>303</v>
      </c>
      <c r="I30" s="244">
        <v>321</v>
      </c>
      <c r="K30" s="244">
        <v>321</v>
      </c>
      <c r="M30" s="76"/>
      <c r="N30" s="63"/>
      <c r="O30" s="63"/>
    </row>
    <row r="31" spans="1:15" s="37" customFormat="1" x14ac:dyDescent="0.2">
      <c r="A31" s="35" t="s">
        <v>1787</v>
      </c>
      <c r="B31" s="36"/>
      <c r="C31" s="1094"/>
      <c r="D31" s="1095"/>
      <c r="E31" s="1094"/>
      <c r="I31" s="1094"/>
      <c r="K31" s="1094"/>
      <c r="M31" s="616"/>
      <c r="N31" s="87"/>
      <c r="O31" s="87"/>
    </row>
    <row r="32" spans="1:15" s="40" customFormat="1" x14ac:dyDescent="0.2">
      <c r="A32" s="41" t="s">
        <v>1788</v>
      </c>
      <c r="B32" s="39"/>
      <c r="C32" s="244"/>
      <c r="D32" s="663"/>
      <c r="E32" s="244"/>
      <c r="I32" s="244"/>
      <c r="K32" s="244"/>
      <c r="M32" s="76"/>
      <c r="N32" s="63"/>
    </row>
    <row r="33" spans="1:14" s="40" customFormat="1" ht="13.5" customHeight="1" x14ac:dyDescent="0.2">
      <c r="A33" s="90" t="s">
        <v>1789</v>
      </c>
      <c r="B33" s="39"/>
      <c r="C33" s="244">
        <v>27139</v>
      </c>
      <c r="D33" s="663"/>
      <c r="E33" s="244">
        <v>29265</v>
      </c>
      <c r="G33" s="77">
        <v>28000</v>
      </c>
      <c r="I33" s="244">
        <v>29500</v>
      </c>
      <c r="K33" s="244">
        <v>29500</v>
      </c>
      <c r="M33" s="76"/>
      <c r="N33" s="63"/>
    </row>
    <row r="34" spans="1:14" s="40" customFormat="1" ht="13.5" customHeight="1" x14ac:dyDescent="0.2">
      <c r="A34" s="90" t="s">
        <v>1790</v>
      </c>
      <c r="B34" s="39"/>
      <c r="C34" s="244">
        <v>8845</v>
      </c>
      <c r="D34" s="663"/>
      <c r="E34" s="244">
        <v>9110</v>
      </c>
      <c r="G34" s="77">
        <v>9000</v>
      </c>
      <c r="I34" s="244">
        <v>9400</v>
      </c>
      <c r="K34" s="244">
        <v>9400</v>
      </c>
      <c r="M34" s="76"/>
      <c r="N34" s="63"/>
    </row>
    <row r="35" spans="1:14" s="40" customFormat="1" ht="13.5" customHeight="1" x14ac:dyDescent="0.2">
      <c r="A35" s="90" t="s">
        <v>1791</v>
      </c>
      <c r="B35" s="39"/>
      <c r="C35" s="244">
        <v>23028</v>
      </c>
      <c r="D35" s="663"/>
      <c r="E35" s="244">
        <v>23966</v>
      </c>
      <c r="G35" s="77">
        <v>23100</v>
      </c>
      <c r="I35" s="244">
        <v>25000</v>
      </c>
      <c r="K35" s="244">
        <v>25000</v>
      </c>
      <c r="M35" s="76"/>
      <c r="N35" s="63"/>
    </row>
    <row r="36" spans="1:14" s="40" customFormat="1" ht="13.5" customHeight="1" x14ac:dyDescent="0.2">
      <c r="A36" s="90" t="s">
        <v>1792</v>
      </c>
      <c r="B36" s="39"/>
      <c r="C36" s="244">
        <v>2464</v>
      </c>
      <c r="D36" s="663"/>
      <c r="E36" s="244">
        <v>2396</v>
      </c>
      <c r="G36" s="77">
        <v>2465</v>
      </c>
      <c r="I36" s="244">
        <v>2400</v>
      </c>
      <c r="K36" s="244">
        <v>2400</v>
      </c>
      <c r="M36" s="76"/>
      <c r="N36" s="63"/>
    </row>
    <row r="37" spans="1:14" s="40" customFormat="1" ht="13.5" customHeight="1" x14ac:dyDescent="0.2">
      <c r="A37" s="90" t="s">
        <v>1793</v>
      </c>
      <c r="B37" s="39"/>
      <c r="C37" s="244">
        <v>19070</v>
      </c>
      <c r="D37" s="663"/>
      <c r="E37" s="244">
        <v>19813</v>
      </c>
      <c r="G37" s="77">
        <v>19500</v>
      </c>
      <c r="I37" s="244">
        <v>20200</v>
      </c>
      <c r="K37" s="244">
        <v>20200</v>
      </c>
      <c r="M37" s="76"/>
      <c r="N37" s="63"/>
    </row>
    <row r="38" spans="1:14" s="40" customFormat="1" ht="13.5" customHeight="1" x14ac:dyDescent="0.2">
      <c r="A38" s="90" t="s">
        <v>1794</v>
      </c>
      <c r="B38" s="39"/>
      <c r="C38" s="244">
        <v>47840</v>
      </c>
      <c r="D38" s="663"/>
      <c r="E38" s="244">
        <v>49450</v>
      </c>
      <c r="G38" s="77">
        <v>48000</v>
      </c>
      <c r="I38" s="244">
        <v>51000</v>
      </c>
      <c r="K38" s="244">
        <v>51000</v>
      </c>
      <c r="M38" s="76"/>
      <c r="N38" s="63"/>
    </row>
    <row r="39" spans="1:14" s="40" customFormat="1" ht="13.5" customHeight="1" x14ac:dyDescent="0.2">
      <c r="A39" s="90" t="s">
        <v>1795</v>
      </c>
      <c r="B39" s="39"/>
      <c r="C39" s="244">
        <v>201901</v>
      </c>
      <c r="D39" s="663"/>
      <c r="E39" s="244">
        <v>208169</v>
      </c>
      <c r="G39" s="77">
        <v>202000</v>
      </c>
      <c r="I39" s="244">
        <v>210000</v>
      </c>
      <c r="K39" s="244">
        <v>210000</v>
      </c>
      <c r="M39" s="76"/>
      <c r="N39" s="63"/>
    </row>
    <row r="40" spans="1:14" s="40" customFormat="1" ht="13.5" customHeight="1" x14ac:dyDescent="0.2">
      <c r="A40" s="90" t="s">
        <v>1796</v>
      </c>
      <c r="B40" s="39"/>
      <c r="C40" s="244">
        <v>2420</v>
      </c>
      <c r="D40" s="663"/>
      <c r="E40" s="244">
        <v>2361</v>
      </c>
      <c r="G40" s="77">
        <v>2450</v>
      </c>
      <c r="I40" s="244">
        <v>2400</v>
      </c>
      <c r="K40" s="244">
        <v>2400</v>
      </c>
      <c r="M40" s="76"/>
      <c r="N40" s="63"/>
    </row>
    <row r="41" spans="1:14" s="40" customFormat="1" ht="13.5" customHeight="1" x14ac:dyDescent="0.2">
      <c r="A41" s="90" t="s">
        <v>1797</v>
      </c>
      <c r="B41" s="39"/>
      <c r="C41" s="244">
        <v>38899</v>
      </c>
      <c r="D41" s="663"/>
      <c r="E41" s="244">
        <v>37444</v>
      </c>
      <c r="G41" s="77">
        <v>39000</v>
      </c>
      <c r="I41" s="244">
        <v>38000</v>
      </c>
      <c r="K41" s="244">
        <v>38000</v>
      </c>
      <c r="M41" s="76"/>
      <c r="N41" s="63"/>
    </row>
    <row r="42" spans="1:14" s="40" customFormat="1" ht="13.5" customHeight="1" x14ac:dyDescent="0.2">
      <c r="A42" s="90" t="s">
        <v>1798</v>
      </c>
      <c r="B42" s="39"/>
      <c r="C42" s="244">
        <v>2871</v>
      </c>
      <c r="D42" s="663"/>
      <c r="E42" s="244">
        <v>3007</v>
      </c>
      <c r="G42" s="77">
        <v>2900</v>
      </c>
      <c r="I42" s="244">
        <v>3100</v>
      </c>
      <c r="K42" s="244">
        <v>3100</v>
      </c>
      <c r="M42" s="76"/>
      <c r="N42" s="63"/>
    </row>
    <row r="43" spans="1:14" s="40" customFormat="1" ht="13.5" customHeight="1" x14ac:dyDescent="0.2">
      <c r="A43" s="90" t="s">
        <v>1799</v>
      </c>
      <c r="B43" s="39"/>
      <c r="C43" s="244">
        <v>891</v>
      </c>
      <c r="D43" s="663"/>
      <c r="E43" s="244">
        <v>909</v>
      </c>
      <c r="G43" s="77">
        <v>900</v>
      </c>
      <c r="I43" s="244">
        <v>920</v>
      </c>
      <c r="K43" s="244">
        <v>920</v>
      </c>
      <c r="M43" s="76"/>
      <c r="N43" s="63"/>
    </row>
    <row r="44" spans="1:14" s="40" customFormat="1" ht="13.5" customHeight="1" x14ac:dyDescent="0.2">
      <c r="A44" s="90" t="s">
        <v>1800</v>
      </c>
      <c r="B44" s="39"/>
      <c r="C44" s="244">
        <v>1740</v>
      </c>
      <c r="D44" s="663"/>
      <c r="E44" s="244">
        <v>1823</v>
      </c>
      <c r="G44" s="77">
        <v>1775</v>
      </c>
      <c r="I44" s="244">
        <v>1900</v>
      </c>
      <c r="K44" s="244">
        <v>1900</v>
      </c>
      <c r="M44" s="76"/>
      <c r="N44" s="63"/>
    </row>
    <row r="45" spans="1:14" s="40" customFormat="1" ht="13.5" customHeight="1" x14ac:dyDescent="0.2">
      <c r="A45" s="90" t="s">
        <v>1801</v>
      </c>
      <c r="B45" s="39"/>
      <c r="C45" s="244">
        <v>90752</v>
      </c>
      <c r="D45" s="663"/>
      <c r="E45" s="244">
        <v>85328</v>
      </c>
      <c r="G45" s="77">
        <v>91000</v>
      </c>
      <c r="I45" s="244">
        <v>87000</v>
      </c>
      <c r="K45" s="244">
        <v>87000</v>
      </c>
      <c r="M45" s="76"/>
      <c r="N45" s="63"/>
    </row>
    <row r="46" spans="1:14" s="40" customFormat="1" ht="13.5" customHeight="1" x14ac:dyDescent="0.2">
      <c r="A46" s="90" t="s">
        <v>1802</v>
      </c>
      <c r="B46" s="39"/>
      <c r="C46" s="244">
        <v>2461</v>
      </c>
      <c r="D46" s="663"/>
      <c r="E46" s="244">
        <v>2495</v>
      </c>
      <c r="G46" s="77">
        <v>2500</v>
      </c>
      <c r="I46" s="244">
        <v>2520</v>
      </c>
      <c r="K46" s="244">
        <v>2520</v>
      </c>
      <c r="M46" s="76"/>
      <c r="N46" s="63"/>
    </row>
    <row r="47" spans="1:14" s="40" customFormat="1" ht="13.5" customHeight="1" x14ac:dyDescent="0.2">
      <c r="A47" s="90" t="s">
        <v>1803</v>
      </c>
      <c r="B47" s="39"/>
      <c r="C47" s="244">
        <v>20178</v>
      </c>
      <c r="D47" s="663"/>
      <c r="E47" s="244">
        <v>20114</v>
      </c>
      <c r="G47" s="77">
        <v>21000</v>
      </c>
      <c r="I47" s="244">
        <v>20500</v>
      </c>
      <c r="K47" s="244">
        <v>20500</v>
      </c>
      <c r="M47" s="76"/>
      <c r="N47" s="63"/>
    </row>
    <row r="48" spans="1:14" s="40" customFormat="1" ht="13.5" customHeight="1" x14ac:dyDescent="0.2">
      <c r="A48" s="90" t="s">
        <v>1804</v>
      </c>
      <c r="B48" s="39"/>
      <c r="C48" s="244">
        <v>3639</v>
      </c>
      <c r="D48" s="663"/>
      <c r="E48" s="244">
        <v>3681</v>
      </c>
      <c r="G48" s="77">
        <v>3700</v>
      </c>
      <c r="I48" s="244">
        <v>3700</v>
      </c>
      <c r="K48" s="244">
        <v>3700</v>
      </c>
      <c r="M48" s="76"/>
      <c r="N48" s="63"/>
    </row>
    <row r="49" spans="1:15" s="40" customFormat="1" ht="13.5" customHeight="1" x14ac:dyDescent="0.2">
      <c r="A49" s="90" t="s">
        <v>1805</v>
      </c>
      <c r="B49" s="39"/>
      <c r="C49" s="244">
        <v>6003</v>
      </c>
      <c r="D49" s="663"/>
      <c r="E49" s="244">
        <v>5946</v>
      </c>
      <c r="G49" s="77">
        <v>6100</v>
      </c>
      <c r="I49" s="244">
        <v>6000</v>
      </c>
      <c r="K49" s="244">
        <v>6000</v>
      </c>
      <c r="M49" s="76"/>
      <c r="N49" s="63"/>
    </row>
    <row r="50" spans="1:15" s="40" customFormat="1" ht="13.5" customHeight="1" x14ac:dyDescent="0.2">
      <c r="A50" s="90" t="s">
        <v>1806</v>
      </c>
      <c r="B50" s="39"/>
      <c r="C50" s="244">
        <v>9088</v>
      </c>
      <c r="D50" s="663"/>
      <c r="E50" s="244">
        <v>9251</v>
      </c>
      <c r="G50" s="77">
        <v>9100</v>
      </c>
      <c r="I50" s="244">
        <v>9400</v>
      </c>
      <c r="K50" s="244">
        <v>9400</v>
      </c>
      <c r="M50" s="76"/>
      <c r="N50" s="63"/>
    </row>
    <row r="51" spans="1:15" s="40" customFormat="1" ht="13.5" customHeight="1" x14ac:dyDescent="0.2">
      <c r="A51" s="90" t="s">
        <v>1807</v>
      </c>
      <c r="B51" s="39"/>
      <c r="C51" s="244">
        <v>3242</v>
      </c>
      <c r="D51" s="663"/>
      <c r="E51" s="244">
        <v>3329</v>
      </c>
      <c r="G51" s="77">
        <v>3300</v>
      </c>
      <c r="I51" s="244">
        <v>3400</v>
      </c>
      <c r="K51" s="244">
        <v>3400</v>
      </c>
      <c r="M51" s="76"/>
      <c r="N51" s="577"/>
      <c r="O51" s="463"/>
    </row>
    <row r="52" spans="1:15" s="40" customFormat="1" ht="13.5" customHeight="1" x14ac:dyDescent="0.2">
      <c r="A52" s="90" t="s">
        <v>1808</v>
      </c>
      <c r="B52" s="39"/>
      <c r="C52" s="244">
        <v>11332</v>
      </c>
      <c r="D52" s="663"/>
      <c r="E52" s="244">
        <v>11803</v>
      </c>
      <c r="G52" s="77">
        <v>11400</v>
      </c>
      <c r="I52" s="244">
        <v>12200</v>
      </c>
      <c r="K52" s="244">
        <v>12200</v>
      </c>
      <c r="M52" s="76"/>
      <c r="N52" s="63"/>
    </row>
    <row r="53" spans="1:15" s="40" customFormat="1" ht="13.5" customHeight="1" x14ac:dyDescent="0.2">
      <c r="A53" s="90" t="s">
        <v>1809</v>
      </c>
      <c r="B53" s="39"/>
      <c r="C53" s="244">
        <v>6524</v>
      </c>
      <c r="D53" s="663"/>
      <c r="E53" s="244">
        <v>6925</v>
      </c>
      <c r="G53" s="77">
        <v>6550</v>
      </c>
      <c r="I53" s="244">
        <v>7300</v>
      </c>
      <c r="K53" s="244">
        <v>7300</v>
      </c>
      <c r="M53" s="76"/>
      <c r="N53" s="63"/>
    </row>
    <row r="54" spans="1:15" s="40" customFormat="1" ht="13.5" customHeight="1" x14ac:dyDescent="0.2">
      <c r="A54" s="90" t="s">
        <v>1810</v>
      </c>
      <c r="B54" s="39"/>
      <c r="C54" s="244">
        <v>2650</v>
      </c>
      <c r="D54" s="663"/>
      <c r="E54" s="244">
        <v>2717</v>
      </c>
      <c r="G54" s="77">
        <v>2700</v>
      </c>
      <c r="I54" s="244">
        <v>2775</v>
      </c>
      <c r="K54" s="244">
        <v>2775</v>
      </c>
      <c r="M54" s="76"/>
      <c r="N54" s="63"/>
    </row>
    <row r="55" spans="1:15" s="40" customFormat="1" ht="13.5" customHeight="1" x14ac:dyDescent="0.2">
      <c r="A55" s="90" t="s">
        <v>1811</v>
      </c>
      <c r="B55" s="39"/>
      <c r="C55" s="244">
        <v>3529</v>
      </c>
      <c r="D55" s="663"/>
      <c r="E55" s="244">
        <v>3660</v>
      </c>
      <c r="G55" s="77">
        <v>3600</v>
      </c>
      <c r="I55" s="244">
        <v>3700</v>
      </c>
      <c r="K55" s="244">
        <v>3700</v>
      </c>
      <c r="M55" s="76"/>
      <c r="N55" s="63"/>
    </row>
    <row r="56" spans="1:15" s="40" customFormat="1" ht="13.5" customHeight="1" x14ac:dyDescent="0.2">
      <c r="A56" s="90" t="s">
        <v>1812</v>
      </c>
      <c r="B56" s="39"/>
      <c r="C56" s="244">
        <v>20387</v>
      </c>
      <c r="D56" s="663"/>
      <c r="E56" s="244">
        <v>19984</v>
      </c>
      <c r="G56" s="77">
        <v>21000</v>
      </c>
      <c r="I56" s="244">
        <v>20000</v>
      </c>
      <c r="K56" s="244">
        <v>20000</v>
      </c>
      <c r="M56" s="76"/>
      <c r="N56" s="63"/>
    </row>
    <row r="57" spans="1:15" s="40" customFormat="1" ht="13.5" customHeight="1" x14ac:dyDescent="0.2">
      <c r="A57" s="90" t="s">
        <v>1813</v>
      </c>
      <c r="B57" s="39"/>
      <c r="C57" s="312">
        <v>224</v>
      </c>
      <c r="D57" s="663"/>
      <c r="E57" s="312">
        <v>209</v>
      </c>
      <c r="G57" s="463">
        <v>225</v>
      </c>
      <c r="I57" s="312">
        <v>210</v>
      </c>
      <c r="K57" s="312">
        <v>210</v>
      </c>
      <c r="M57" s="577"/>
      <c r="N57" s="63"/>
    </row>
    <row r="58" spans="1:15" s="40" customFormat="1" ht="13.5" customHeight="1" x14ac:dyDescent="0.2">
      <c r="A58" s="90" t="s">
        <v>1814</v>
      </c>
      <c r="B58" s="39"/>
      <c r="C58" s="244">
        <v>6824</v>
      </c>
      <c r="D58" s="663"/>
      <c r="E58" s="244">
        <v>7344</v>
      </c>
      <c r="G58" s="77">
        <v>6850</v>
      </c>
      <c r="I58" s="244">
        <v>7900</v>
      </c>
      <c r="K58" s="244">
        <v>7900</v>
      </c>
      <c r="M58" s="76"/>
      <c r="N58" s="63"/>
    </row>
    <row r="59" spans="1:15" s="40" customFormat="1" ht="13.5" customHeight="1" x14ac:dyDescent="0.2">
      <c r="A59" s="90" t="s">
        <v>1815</v>
      </c>
      <c r="B59" s="39"/>
      <c r="C59" s="312">
        <v>163</v>
      </c>
      <c r="D59" s="663"/>
      <c r="E59" s="312">
        <v>147</v>
      </c>
      <c r="G59" s="463">
        <v>163</v>
      </c>
      <c r="I59" s="312">
        <v>147</v>
      </c>
      <c r="K59" s="312">
        <v>147</v>
      </c>
      <c r="M59" s="1096"/>
      <c r="N59" s="106"/>
      <c r="O59" s="148"/>
    </row>
    <row r="60" spans="1:15" s="40" customFormat="1" ht="13.5" customHeight="1" x14ac:dyDescent="0.2">
      <c r="A60" s="150" t="s">
        <v>1816</v>
      </c>
      <c r="B60" s="145"/>
      <c r="C60" s="312">
        <v>420</v>
      </c>
      <c r="D60" s="663"/>
      <c r="E60" s="312">
        <v>389</v>
      </c>
      <c r="G60" s="463">
        <v>425</v>
      </c>
      <c r="I60" s="312">
        <v>400</v>
      </c>
      <c r="K60" s="312">
        <v>400</v>
      </c>
      <c r="M60" s="1096"/>
      <c r="N60" s="106"/>
      <c r="O60" s="148"/>
    </row>
    <row r="61" spans="1:15" s="40" customFormat="1" ht="13.5" customHeight="1" x14ac:dyDescent="0.2">
      <c r="A61" s="150" t="s">
        <v>1817</v>
      </c>
      <c r="B61" s="145"/>
      <c r="C61" s="244">
        <v>9233</v>
      </c>
      <c r="D61" s="663"/>
      <c r="E61" s="244">
        <v>8671</v>
      </c>
      <c r="G61" s="77">
        <v>9300</v>
      </c>
      <c r="I61" s="244">
        <v>9000</v>
      </c>
      <c r="K61" s="244">
        <v>9000</v>
      </c>
      <c r="M61" s="88"/>
      <c r="N61" s="1097"/>
      <c r="O61" s="129"/>
    </row>
    <row r="62" spans="1:15" s="40" customFormat="1" ht="13.5" customHeight="1" x14ac:dyDescent="0.2">
      <c r="A62" s="150" t="s">
        <v>1818</v>
      </c>
      <c r="B62" s="145"/>
      <c r="C62" s="244">
        <v>8044</v>
      </c>
      <c r="D62" s="663"/>
      <c r="E62" s="244">
        <v>8442</v>
      </c>
      <c r="G62" s="77">
        <v>8100</v>
      </c>
      <c r="I62" s="244">
        <v>8600</v>
      </c>
      <c r="K62" s="244">
        <v>8600</v>
      </c>
      <c r="M62" s="88"/>
      <c r="N62" s="1097"/>
      <c r="O62" s="129"/>
    </row>
    <row r="63" spans="1:15" s="40" customFormat="1" ht="13.5" customHeight="1" x14ac:dyDescent="0.2">
      <c r="A63" s="150" t="s">
        <v>1819</v>
      </c>
      <c r="B63" s="145"/>
      <c r="C63" s="244">
        <v>18</v>
      </c>
      <c r="D63" s="663"/>
      <c r="E63" s="244">
        <v>27</v>
      </c>
      <c r="G63" s="77">
        <v>18</v>
      </c>
      <c r="I63" s="244">
        <v>31</v>
      </c>
      <c r="K63" s="244">
        <v>31</v>
      </c>
      <c r="M63" s="88"/>
      <c r="N63" s="1097"/>
      <c r="O63" s="129"/>
    </row>
    <row r="64" spans="1:15" s="37" customFormat="1" x14ac:dyDescent="0.2">
      <c r="A64" s="35" t="s">
        <v>1820</v>
      </c>
      <c r="B64" s="36"/>
      <c r="C64" s="1098"/>
      <c r="D64" s="1095"/>
      <c r="E64" s="1098"/>
      <c r="I64" s="1098"/>
      <c r="K64" s="1098"/>
      <c r="M64" s="65"/>
      <c r="N64" s="63"/>
      <c r="O64" s="40"/>
    </row>
    <row r="65" spans="1:15" s="40" customFormat="1" x14ac:dyDescent="0.2">
      <c r="A65" s="41" t="s">
        <v>1821</v>
      </c>
      <c r="B65" s="39"/>
      <c r="C65" s="663"/>
      <c r="D65" s="663"/>
      <c r="E65" s="663"/>
      <c r="I65" s="663"/>
      <c r="K65" s="663"/>
      <c r="M65" s="76"/>
      <c r="N65" s="577"/>
      <c r="O65" s="463"/>
    </row>
    <row r="66" spans="1:15" s="40" customFormat="1" x14ac:dyDescent="0.2">
      <c r="A66" s="90" t="s">
        <v>1822</v>
      </c>
      <c r="B66" s="39"/>
      <c r="C66" s="240">
        <v>581</v>
      </c>
      <c r="D66" s="663"/>
      <c r="E66" s="240">
        <v>501</v>
      </c>
      <c r="G66" s="77">
        <v>600</v>
      </c>
      <c r="I66" s="240">
        <v>515</v>
      </c>
      <c r="K66" s="240">
        <v>515</v>
      </c>
      <c r="M66" s="76"/>
      <c r="N66" s="577"/>
      <c r="O66" s="463"/>
    </row>
    <row r="67" spans="1:15" s="40" customFormat="1" x14ac:dyDescent="0.2">
      <c r="A67" s="90" t="s">
        <v>1823</v>
      </c>
      <c r="B67" s="39"/>
      <c r="C67" s="240">
        <v>511</v>
      </c>
      <c r="D67" s="663"/>
      <c r="E67" s="240">
        <v>443</v>
      </c>
      <c r="G67" s="77">
        <v>550</v>
      </c>
      <c r="I67" s="240">
        <v>515</v>
      </c>
      <c r="K67" s="240">
        <v>515</v>
      </c>
      <c r="M67" s="76"/>
      <c r="N67" s="577"/>
      <c r="O67" s="463"/>
    </row>
    <row r="68" spans="1:15" s="40" customFormat="1" x14ac:dyDescent="0.2">
      <c r="A68" s="90" t="s">
        <v>1824</v>
      </c>
      <c r="B68" s="39"/>
      <c r="C68" s="240">
        <v>905</v>
      </c>
      <c r="D68" s="663"/>
      <c r="E68" s="240">
        <v>963</v>
      </c>
      <c r="G68" s="77">
        <v>1005</v>
      </c>
      <c r="I68" s="240">
        <v>963</v>
      </c>
      <c r="K68" s="240">
        <v>963</v>
      </c>
      <c r="M68" s="76"/>
      <c r="N68" s="577"/>
      <c r="O68" s="463"/>
    </row>
    <row r="69" spans="1:15" s="40" customFormat="1" x14ac:dyDescent="0.2">
      <c r="A69" s="90" t="s">
        <v>1825</v>
      </c>
      <c r="B69" s="39"/>
      <c r="C69" s="240">
        <v>7000</v>
      </c>
      <c r="D69" s="663"/>
      <c r="E69" s="240">
        <v>7000</v>
      </c>
      <c r="G69" s="77">
        <v>7000</v>
      </c>
      <c r="I69" s="240">
        <v>7000</v>
      </c>
      <c r="K69" s="240">
        <v>7000</v>
      </c>
      <c r="M69" s="76"/>
      <c r="N69" s="577"/>
      <c r="O69" s="463"/>
    </row>
    <row r="70" spans="1:15" s="40" customFormat="1" ht="14.25" x14ac:dyDescent="0.2">
      <c r="A70" s="90" t="s">
        <v>1826</v>
      </c>
      <c r="B70" s="39"/>
      <c r="C70" s="1099">
        <v>1342602</v>
      </c>
      <c r="D70" s="1092"/>
      <c r="E70" s="1099">
        <v>1525485</v>
      </c>
      <c r="G70" s="98">
        <v>2000000</v>
      </c>
      <c r="I70" s="1099">
        <v>1500000</v>
      </c>
      <c r="K70" s="1099">
        <v>1500000</v>
      </c>
      <c r="M70" s="615"/>
      <c r="N70" s="1097"/>
      <c r="O70" s="129"/>
    </row>
    <row r="71" spans="1:15" s="37" customFormat="1" x14ac:dyDescent="0.2">
      <c r="A71" s="35" t="s">
        <v>1827</v>
      </c>
      <c r="B71" s="36"/>
      <c r="C71" s="1095"/>
      <c r="D71" s="1095"/>
      <c r="E71" s="1095"/>
      <c r="I71" s="1095"/>
      <c r="K71" s="1095"/>
      <c r="M71" s="76"/>
      <c r="N71" s="63"/>
      <c r="O71" s="40"/>
    </row>
    <row r="72" spans="1:15" s="40" customFormat="1" x14ac:dyDescent="0.2">
      <c r="A72" s="41" t="s">
        <v>1828</v>
      </c>
      <c r="B72" s="39"/>
      <c r="C72" s="240">
        <v>1508</v>
      </c>
      <c r="D72" s="663"/>
      <c r="E72" s="240">
        <v>1421</v>
      </c>
      <c r="G72" s="77">
        <v>815</v>
      </c>
      <c r="I72" s="240">
        <v>1670</v>
      </c>
      <c r="K72" s="240">
        <v>2326</v>
      </c>
      <c r="M72" s="76"/>
      <c r="N72" s="577"/>
      <c r="O72" s="463"/>
    </row>
    <row r="73" spans="1:15" s="40" customFormat="1" x14ac:dyDescent="0.2">
      <c r="A73" s="90" t="s">
        <v>1829</v>
      </c>
      <c r="B73" s="39"/>
      <c r="C73" s="240">
        <v>384</v>
      </c>
      <c r="D73" s="663"/>
      <c r="E73" s="240">
        <v>364</v>
      </c>
      <c r="G73" s="77">
        <v>384</v>
      </c>
      <c r="I73" s="240">
        <v>422</v>
      </c>
      <c r="K73" s="240">
        <v>464</v>
      </c>
      <c r="M73" s="76"/>
      <c r="N73" s="577"/>
      <c r="O73" s="463"/>
    </row>
    <row r="74" spans="1:15" s="40" customFormat="1" ht="14.25" x14ac:dyDescent="0.2">
      <c r="A74" s="90" t="s">
        <v>1388</v>
      </c>
      <c r="B74" s="39"/>
      <c r="C74" s="240">
        <v>3676</v>
      </c>
      <c r="D74" s="1100"/>
      <c r="E74" s="240">
        <v>3619</v>
      </c>
      <c r="G74" s="77">
        <v>3924</v>
      </c>
      <c r="I74" s="240">
        <v>3979</v>
      </c>
      <c r="J74" s="1092" t="s">
        <v>1703</v>
      </c>
      <c r="K74" s="240">
        <v>4377</v>
      </c>
      <c r="L74" s="1092" t="s">
        <v>1703</v>
      </c>
      <c r="M74" s="76"/>
      <c r="N74" s="577"/>
      <c r="O74" s="463"/>
    </row>
    <row r="75" spans="1:15" s="40" customFormat="1" x14ac:dyDescent="0.2">
      <c r="A75" s="90" t="s">
        <v>1830</v>
      </c>
      <c r="B75" s="39"/>
      <c r="C75" s="240">
        <v>2782</v>
      </c>
      <c r="D75" s="1100"/>
      <c r="E75" s="240">
        <v>2687</v>
      </c>
      <c r="G75" s="77"/>
      <c r="I75" s="240">
        <v>2955</v>
      </c>
      <c r="K75" s="240">
        <v>3250</v>
      </c>
      <c r="M75" s="76"/>
      <c r="N75" s="577"/>
      <c r="O75" s="463"/>
    </row>
    <row r="76" spans="1:15" s="40" customFormat="1" x14ac:dyDescent="0.2">
      <c r="A76" s="90" t="s">
        <v>1831</v>
      </c>
      <c r="B76" s="39"/>
      <c r="C76" s="240">
        <v>6929</v>
      </c>
      <c r="D76" s="1101"/>
      <c r="E76" s="240">
        <v>6421</v>
      </c>
      <c r="G76" s="77">
        <v>4548</v>
      </c>
      <c r="I76" s="240">
        <v>6700</v>
      </c>
      <c r="K76" s="240">
        <v>7100</v>
      </c>
      <c r="M76" s="76"/>
      <c r="N76" s="577"/>
      <c r="O76" s="577"/>
    </row>
    <row r="77" spans="1:15" s="40" customFormat="1" x14ac:dyDescent="0.2">
      <c r="A77" s="131" t="s">
        <v>1832</v>
      </c>
      <c r="B77" s="39"/>
      <c r="C77" s="240">
        <v>1685</v>
      </c>
      <c r="D77" s="663"/>
      <c r="E77" s="240">
        <v>1587</v>
      </c>
      <c r="G77" s="77">
        <v>1704</v>
      </c>
      <c r="I77" s="240">
        <v>1700</v>
      </c>
      <c r="K77" s="240">
        <v>1800</v>
      </c>
      <c r="M77" s="76"/>
      <c r="N77" s="577"/>
      <c r="O77" s="577"/>
    </row>
    <row r="78" spans="1:15" s="40" customFormat="1" x14ac:dyDescent="0.2">
      <c r="A78" s="131" t="s">
        <v>1833</v>
      </c>
      <c r="B78" s="39"/>
      <c r="C78" s="240">
        <v>2828</v>
      </c>
      <c r="D78" s="663"/>
      <c r="E78" s="240">
        <v>2485</v>
      </c>
      <c r="G78" s="77">
        <v>2844</v>
      </c>
      <c r="I78" s="240">
        <v>2600</v>
      </c>
      <c r="K78" s="240">
        <v>2700</v>
      </c>
      <c r="M78" s="76"/>
      <c r="N78" s="577"/>
      <c r="O78" s="577"/>
    </row>
    <row r="79" spans="1:15" s="40" customFormat="1" x14ac:dyDescent="0.2">
      <c r="A79" s="131" t="s">
        <v>1834</v>
      </c>
      <c r="B79" s="39"/>
      <c r="C79" s="240">
        <v>2416</v>
      </c>
      <c r="D79" s="663"/>
      <c r="E79" s="240">
        <v>2349</v>
      </c>
      <c r="G79" s="77"/>
      <c r="I79" s="240">
        <v>2400</v>
      </c>
      <c r="K79" s="240">
        <v>2600</v>
      </c>
      <c r="M79" s="76"/>
      <c r="N79" s="577"/>
      <c r="O79" s="577"/>
    </row>
    <row r="80" spans="1:15" s="40" customFormat="1" x14ac:dyDescent="0.2">
      <c r="A80" s="41" t="s">
        <v>1835</v>
      </c>
      <c r="B80" s="39"/>
      <c r="C80" s="240">
        <v>1421</v>
      </c>
      <c r="D80" s="663"/>
      <c r="E80" s="240">
        <v>1670</v>
      </c>
      <c r="G80" s="77">
        <v>575</v>
      </c>
      <c r="I80" s="240">
        <v>2326</v>
      </c>
      <c r="K80" s="240">
        <v>3317</v>
      </c>
      <c r="M80" s="76"/>
      <c r="N80" s="577"/>
      <c r="O80" s="577"/>
    </row>
    <row r="81" spans="1:15" s="40" customFormat="1" x14ac:dyDescent="0.2">
      <c r="A81" s="41" t="s">
        <v>1836</v>
      </c>
      <c r="B81" s="39"/>
      <c r="C81" s="1099">
        <v>4213</v>
      </c>
      <c r="D81" s="663"/>
      <c r="E81" s="1099">
        <v>4497</v>
      </c>
      <c r="G81" s="98">
        <v>5000</v>
      </c>
      <c r="I81" s="1099">
        <v>4946</v>
      </c>
      <c r="K81" s="1099">
        <v>5440</v>
      </c>
      <c r="M81" s="97"/>
      <c r="N81" s="577"/>
      <c r="O81" s="577"/>
    </row>
    <row r="82" spans="1:15" s="40" customFormat="1" x14ac:dyDescent="0.2">
      <c r="A82" s="90" t="s">
        <v>1837</v>
      </c>
      <c r="B82" s="39"/>
      <c r="C82" s="1099">
        <v>2668</v>
      </c>
      <c r="D82" s="663"/>
      <c r="E82" s="1099">
        <v>2959</v>
      </c>
      <c r="G82" s="98"/>
      <c r="I82" s="1099">
        <v>3255</v>
      </c>
      <c r="K82" s="1099">
        <v>3580</v>
      </c>
      <c r="M82" s="97"/>
      <c r="N82" s="577"/>
      <c r="O82" s="577"/>
    </row>
    <row r="83" spans="1:15" s="40" customFormat="1" x14ac:dyDescent="0.2">
      <c r="A83" s="131" t="s">
        <v>1838</v>
      </c>
      <c r="B83" s="39"/>
      <c r="C83" s="1099">
        <v>1545</v>
      </c>
      <c r="D83" s="663"/>
      <c r="E83" s="1099">
        <v>1538</v>
      </c>
      <c r="G83" s="98"/>
      <c r="I83" s="1099">
        <v>1691</v>
      </c>
      <c r="K83" s="1099">
        <v>1860</v>
      </c>
      <c r="M83" s="97"/>
      <c r="N83" s="577"/>
      <c r="O83" s="577"/>
    </row>
    <row r="84" spans="1:15" s="40" customFormat="1" x14ac:dyDescent="0.2">
      <c r="A84" s="90"/>
      <c r="B84" s="39"/>
      <c r="C84" s="663"/>
      <c r="D84" s="663"/>
      <c r="E84" s="663"/>
      <c r="I84" s="663"/>
      <c r="K84" s="663"/>
      <c r="M84" s="129"/>
      <c r="N84" s="129"/>
      <c r="O84" s="129"/>
    </row>
    <row r="85" spans="1:15" s="37" customFormat="1" x14ac:dyDescent="0.2">
      <c r="A85" s="35" t="s">
        <v>194</v>
      </c>
      <c r="B85" s="36"/>
      <c r="C85" s="1095"/>
      <c r="D85" s="1095"/>
      <c r="E85" s="1095"/>
      <c r="I85" s="1095"/>
      <c r="K85" s="1095"/>
      <c r="M85" s="108"/>
    </row>
    <row r="86" spans="1:15" s="37" customFormat="1" x14ac:dyDescent="0.2">
      <c r="A86" s="35" t="s">
        <v>195</v>
      </c>
      <c r="B86" s="36"/>
      <c r="C86" s="1095"/>
      <c r="D86" s="1095"/>
      <c r="E86" s="1095"/>
      <c r="I86" s="1095"/>
      <c r="K86" s="1095"/>
      <c r="M86" s="64"/>
      <c r="N86" s="40"/>
      <c r="O86" s="40"/>
    </row>
    <row r="87" spans="1:15" s="40" customFormat="1" x14ac:dyDescent="0.2">
      <c r="A87" s="38" t="s">
        <v>196</v>
      </c>
      <c r="B87" s="39"/>
      <c r="C87" s="663"/>
      <c r="D87" s="663"/>
      <c r="E87" s="663"/>
      <c r="I87" s="663"/>
      <c r="K87" s="663"/>
      <c r="M87" s="76"/>
      <c r="N87" s="577"/>
      <c r="O87" s="577"/>
    </row>
    <row r="88" spans="1:15" s="40" customFormat="1" x14ac:dyDescent="0.2">
      <c r="A88" s="41" t="s">
        <v>197</v>
      </c>
      <c r="B88" s="39"/>
      <c r="C88" s="240">
        <v>145</v>
      </c>
      <c r="D88" s="663"/>
      <c r="E88" s="240">
        <v>144</v>
      </c>
      <c r="G88" s="77">
        <v>142</v>
      </c>
      <c r="I88" s="240">
        <v>146</v>
      </c>
      <c r="K88" s="240">
        <v>156</v>
      </c>
      <c r="M88" s="76"/>
      <c r="N88" s="577"/>
      <c r="O88" s="577"/>
    </row>
    <row r="89" spans="1:15" s="40" customFormat="1" x14ac:dyDescent="0.2">
      <c r="A89" s="41" t="s">
        <v>262</v>
      </c>
      <c r="B89" s="39"/>
      <c r="C89" s="240">
        <v>471</v>
      </c>
      <c r="D89" s="663"/>
      <c r="E89" s="240">
        <v>460</v>
      </c>
      <c r="G89" s="77">
        <v>452</v>
      </c>
      <c r="I89" s="240">
        <v>476</v>
      </c>
      <c r="K89" s="240">
        <v>481</v>
      </c>
      <c r="M89" s="76"/>
      <c r="N89" s="577"/>
      <c r="O89" s="577"/>
    </row>
    <row r="90" spans="1:15" s="40" customFormat="1" x14ac:dyDescent="0.2">
      <c r="A90" s="41" t="s">
        <v>198</v>
      </c>
      <c r="B90" s="39"/>
      <c r="C90" s="240">
        <f>SUM(C88:C89)</f>
        <v>616</v>
      </c>
      <c r="D90" s="663"/>
      <c r="E90" s="240">
        <f>SUM(E88:E89)</f>
        <v>604</v>
      </c>
      <c r="G90" s="77">
        <f>G88+G89</f>
        <v>594</v>
      </c>
      <c r="I90" s="240">
        <f>I88+I89</f>
        <v>622</v>
      </c>
      <c r="K90" s="240">
        <f>SUM(K88:K89)</f>
        <v>637</v>
      </c>
      <c r="M90" s="76"/>
      <c r="N90" s="577"/>
      <c r="O90" s="577"/>
    </row>
    <row r="91" spans="1:15" s="40" customFormat="1" x14ac:dyDescent="0.2">
      <c r="A91" s="38" t="s">
        <v>199</v>
      </c>
      <c r="B91" s="39"/>
      <c r="C91" s="263"/>
      <c r="D91" s="663"/>
      <c r="E91" s="263"/>
      <c r="I91" s="263"/>
      <c r="K91" s="263"/>
      <c r="M91" s="76"/>
      <c r="N91" s="577"/>
      <c r="O91" s="577"/>
    </row>
    <row r="92" spans="1:15" s="40" customFormat="1" x14ac:dyDescent="0.2">
      <c r="A92" s="41" t="s">
        <v>1767</v>
      </c>
      <c r="B92" s="39"/>
      <c r="C92" s="240">
        <v>358</v>
      </c>
      <c r="D92" s="663"/>
      <c r="E92" s="240">
        <v>343</v>
      </c>
      <c r="G92" s="77">
        <v>337</v>
      </c>
      <c r="I92" s="240">
        <v>348</v>
      </c>
      <c r="K92" s="240">
        <v>362</v>
      </c>
      <c r="M92" s="76"/>
      <c r="N92" s="577"/>
      <c r="O92" s="577"/>
    </row>
    <row r="93" spans="1:15" s="40" customFormat="1" x14ac:dyDescent="0.2">
      <c r="A93" s="41" t="s">
        <v>1787</v>
      </c>
      <c r="B93" s="39"/>
      <c r="C93" s="240">
        <v>173</v>
      </c>
      <c r="D93" s="663"/>
      <c r="E93" s="240">
        <v>174</v>
      </c>
      <c r="G93" s="77">
        <v>173</v>
      </c>
      <c r="I93" s="240">
        <v>187</v>
      </c>
      <c r="K93" s="240">
        <v>180</v>
      </c>
      <c r="M93" s="76"/>
      <c r="N93" s="577"/>
      <c r="O93" s="577"/>
    </row>
    <row r="94" spans="1:15" s="40" customFormat="1" x14ac:dyDescent="0.2">
      <c r="A94" s="41" t="s">
        <v>1820</v>
      </c>
      <c r="B94" s="39"/>
      <c r="C94" s="240">
        <v>54</v>
      </c>
      <c r="D94" s="663"/>
      <c r="E94" s="240">
        <v>56</v>
      </c>
      <c r="G94" s="77">
        <v>54</v>
      </c>
      <c r="I94" s="240">
        <v>56</v>
      </c>
      <c r="K94" s="240">
        <v>60</v>
      </c>
      <c r="M94" s="76"/>
      <c r="N94" s="577"/>
      <c r="O94" s="577"/>
    </row>
    <row r="95" spans="1:15" s="40" customFormat="1" x14ac:dyDescent="0.2">
      <c r="A95" s="41" t="s">
        <v>1827</v>
      </c>
      <c r="B95" s="39"/>
      <c r="C95" s="240">
        <v>31</v>
      </c>
      <c r="D95" s="663"/>
      <c r="E95" s="240">
        <v>31</v>
      </c>
      <c r="G95" s="77">
        <v>30</v>
      </c>
      <c r="I95" s="240">
        <v>31</v>
      </c>
      <c r="K95" s="240">
        <v>35</v>
      </c>
      <c r="M95" s="76"/>
      <c r="N95" s="577"/>
      <c r="O95" s="577"/>
    </row>
    <row r="96" spans="1:15" s="40" customFormat="1" x14ac:dyDescent="0.2">
      <c r="A96" s="41" t="s">
        <v>198</v>
      </c>
      <c r="B96" s="39"/>
      <c r="C96" s="240">
        <f>SUM(C92:C95)</f>
        <v>616</v>
      </c>
      <c r="D96" s="663"/>
      <c r="E96" s="240">
        <f>SUM(E92:E95)</f>
        <v>604</v>
      </c>
      <c r="G96" s="77">
        <f>G92+G93+G94+G95</f>
        <v>594</v>
      </c>
      <c r="I96" s="240">
        <f>I92+I93+I94+I95</f>
        <v>622</v>
      </c>
      <c r="K96" s="240">
        <f>SUM(K92:K95)</f>
        <v>637</v>
      </c>
      <c r="M96" s="88"/>
      <c r="N96" s="1097"/>
      <c r="O96" s="1097"/>
    </row>
    <row r="97" spans="1:16" s="37" customFormat="1" x14ac:dyDescent="0.2">
      <c r="A97" s="35"/>
      <c r="B97" s="36"/>
      <c r="C97" s="1095"/>
      <c r="D97" s="1095"/>
      <c r="M97" s="331"/>
      <c r="N97" s="331"/>
      <c r="O97" s="331"/>
    </row>
    <row r="98" spans="1:16" s="48" customFormat="1" x14ac:dyDescent="0.2">
      <c r="A98" s="46"/>
      <c r="B98" s="47"/>
      <c r="C98" s="685"/>
      <c r="D98" s="685"/>
      <c r="M98" s="51"/>
      <c r="N98" s="52"/>
    </row>
    <row r="99" spans="1:16" s="48" customFormat="1" x14ac:dyDescent="0.2">
      <c r="A99" s="49" t="s">
        <v>200</v>
      </c>
      <c r="B99" s="50"/>
      <c r="C99" s="1102"/>
      <c r="D99" s="1102"/>
      <c r="E99" s="1102"/>
      <c r="F99" s="1102"/>
      <c r="G99" s="1102"/>
      <c r="H99" s="1102"/>
      <c r="I99" s="1102"/>
      <c r="J99" s="1102"/>
      <c r="K99" s="1102"/>
      <c r="L99" s="1102"/>
      <c r="M99" s="51"/>
      <c r="N99" s="52"/>
    </row>
    <row r="100" spans="1:16" s="1103" customFormat="1" ht="28.5" customHeight="1" x14ac:dyDescent="0.2">
      <c r="A100" s="1811" t="s">
        <v>1240</v>
      </c>
      <c r="B100" s="1812"/>
      <c r="C100" s="1812"/>
      <c r="D100" s="1812"/>
      <c r="E100" s="1812"/>
      <c r="F100" s="1812"/>
      <c r="G100" s="1812"/>
      <c r="H100" s="1812"/>
      <c r="I100" s="1812"/>
      <c r="J100" s="1812"/>
      <c r="K100" s="1812"/>
      <c r="L100" s="1812"/>
      <c r="M100" s="1168"/>
      <c r="N100" s="1168"/>
      <c r="O100" s="54"/>
      <c r="P100" s="54"/>
    </row>
    <row r="101" spans="1:16" ht="12.75" customHeight="1" x14ac:dyDescent="0.2">
      <c r="A101" s="1813" t="s">
        <v>1839</v>
      </c>
      <c r="B101" s="1812"/>
      <c r="C101" s="1812"/>
      <c r="D101" s="1812"/>
      <c r="E101" s="1812"/>
      <c r="F101" s="1812"/>
      <c r="G101" s="1812"/>
      <c r="H101" s="1812"/>
      <c r="I101" s="1812"/>
      <c r="J101" s="1812"/>
      <c r="K101" s="1812"/>
      <c r="L101" s="1812"/>
      <c r="M101" s="138"/>
      <c r="N101" s="137"/>
      <c r="O101" s="54"/>
      <c r="P101" s="54"/>
    </row>
    <row r="102" spans="1:16" x14ac:dyDescent="0.2">
      <c r="A102" s="1104" t="s">
        <v>1840</v>
      </c>
      <c r="B102" s="1102"/>
      <c r="C102" s="1102"/>
      <c r="D102" s="1102"/>
      <c r="E102" s="1102"/>
      <c r="F102" s="1102"/>
      <c r="G102" s="1102"/>
      <c r="H102" s="1102"/>
      <c r="I102" s="1102"/>
      <c r="J102" s="1102"/>
      <c r="K102" s="1102"/>
      <c r="L102" s="1102"/>
      <c r="M102" s="138"/>
      <c r="N102" s="137"/>
      <c r="O102" s="54"/>
      <c r="P102" s="54"/>
    </row>
    <row r="103" spans="1:16" s="1103" customFormat="1" ht="12.75" customHeight="1" x14ac:dyDescent="0.2">
      <c r="A103" s="1104" t="s">
        <v>1841</v>
      </c>
      <c r="B103" s="1102"/>
      <c r="C103" s="1102"/>
      <c r="D103" s="1102"/>
      <c r="E103" s="1102"/>
      <c r="F103" s="1102"/>
      <c r="G103" s="1102"/>
      <c r="H103" s="1102"/>
      <c r="I103" s="1102"/>
      <c r="J103" s="1102"/>
      <c r="K103" s="1102"/>
      <c r="L103" s="1102"/>
      <c r="M103" s="59"/>
      <c r="N103" s="60"/>
      <c r="O103" s="54"/>
      <c r="P103" s="54"/>
    </row>
    <row r="104" spans="1:16" x14ac:dyDescent="0.2">
      <c r="A104" s="1813" t="s">
        <v>1842</v>
      </c>
      <c r="B104" s="1813"/>
      <c r="C104" s="1813"/>
      <c r="D104" s="1813"/>
      <c r="E104" s="1813"/>
      <c r="F104" s="1813"/>
      <c r="G104" s="1813"/>
      <c r="H104" s="1813"/>
      <c r="I104" s="1813"/>
      <c r="J104" s="1813"/>
      <c r="K104" s="1813"/>
      <c r="L104" s="1813"/>
    </row>
    <row r="105" spans="1:16" x14ac:dyDescent="0.2">
      <c r="A105" s="29"/>
      <c r="B105" s="29"/>
      <c r="C105" s="29"/>
      <c r="D105" s="29"/>
      <c r="E105" s="29"/>
      <c r="F105" s="29"/>
      <c r="G105" s="29"/>
      <c r="H105" s="29"/>
      <c r="I105" s="29"/>
      <c r="J105" s="29"/>
      <c r="K105" s="29"/>
      <c r="L105" s="29"/>
      <c r="M105" s="107"/>
      <c r="N105" s="54"/>
      <c r="O105" s="54"/>
      <c r="P105" s="54"/>
    </row>
    <row r="106" spans="1:16" ht="27.75" customHeight="1" x14ac:dyDescent="0.2">
      <c r="A106" s="55"/>
      <c r="B106" s="54"/>
      <c r="C106" s="56"/>
      <c r="D106" s="54"/>
      <c r="E106" s="56"/>
      <c r="F106" s="54"/>
      <c r="G106" s="56"/>
      <c r="H106" s="54"/>
      <c r="I106" s="56"/>
      <c r="J106" s="54"/>
      <c r="K106" s="56"/>
      <c r="L106" s="54"/>
      <c r="M106" s="56"/>
      <c r="N106" s="54"/>
      <c r="O106" s="54"/>
      <c r="P106" s="54"/>
    </row>
    <row r="107" spans="1:16" x14ac:dyDescent="0.2">
      <c r="A107" s="55"/>
      <c r="B107" s="54"/>
      <c r="C107" s="107"/>
      <c r="D107" s="54"/>
      <c r="E107" s="107"/>
      <c r="F107" s="54"/>
      <c r="G107" s="107"/>
      <c r="H107" s="54"/>
      <c r="I107" s="107"/>
      <c r="J107" s="54"/>
      <c r="K107" s="107"/>
      <c r="L107" s="54"/>
      <c r="M107" s="107"/>
      <c r="N107" s="54"/>
      <c r="O107" s="54"/>
      <c r="P107" s="54"/>
    </row>
    <row r="108" spans="1:16" x14ac:dyDescent="0.2">
      <c r="A108" s="55"/>
      <c r="B108" s="54"/>
      <c r="C108" s="56"/>
      <c r="D108" s="54"/>
      <c r="E108" s="56"/>
      <c r="F108" s="54"/>
      <c r="G108" s="56"/>
      <c r="H108" s="54"/>
      <c r="I108" s="56"/>
      <c r="J108" s="54"/>
      <c r="K108" s="56"/>
      <c r="L108" s="54"/>
      <c r="M108" s="56"/>
      <c r="N108" s="54"/>
      <c r="O108" s="54"/>
      <c r="P108" s="54"/>
    </row>
    <row r="109" spans="1:16" x14ac:dyDescent="0.2">
      <c r="A109" s="55"/>
      <c r="B109" s="54"/>
      <c r="C109" s="54"/>
      <c r="D109" s="54"/>
      <c r="E109" s="54"/>
      <c r="F109" s="54"/>
      <c r="G109" s="54"/>
      <c r="H109" s="54"/>
      <c r="I109" s="54"/>
      <c r="J109" s="54"/>
      <c r="K109" s="54"/>
      <c r="L109" s="54"/>
      <c r="M109" s="54"/>
      <c r="N109" s="54"/>
      <c r="O109" s="54"/>
      <c r="P109" s="54"/>
    </row>
    <row r="110" spans="1:16" x14ac:dyDescent="0.2">
      <c r="A110" s="55"/>
      <c r="B110" s="54"/>
      <c r="C110" s="54"/>
      <c r="D110" s="54"/>
      <c r="E110" s="54"/>
      <c r="F110" s="54"/>
      <c r="G110" s="54"/>
      <c r="H110" s="54"/>
      <c r="I110" s="54"/>
      <c r="J110" s="54"/>
      <c r="K110" s="54"/>
      <c r="L110" s="54"/>
      <c r="M110" s="54"/>
      <c r="N110" s="54"/>
      <c r="O110" s="54"/>
      <c r="P110" s="54"/>
    </row>
    <row r="111" spans="1:16" x14ac:dyDescent="0.2">
      <c r="A111" s="55"/>
      <c r="B111" s="54"/>
      <c r="C111" s="54"/>
      <c r="D111" s="54"/>
      <c r="E111" s="54"/>
      <c r="F111" s="54"/>
      <c r="G111" s="54"/>
      <c r="H111" s="54"/>
      <c r="I111" s="54"/>
      <c r="J111" s="54"/>
      <c r="K111" s="54"/>
      <c r="L111" s="54"/>
      <c r="M111" s="54"/>
      <c r="N111" s="54"/>
      <c r="O111" s="54"/>
      <c r="P111" s="54"/>
    </row>
    <row r="112" spans="1:16" x14ac:dyDescent="0.2">
      <c r="A112" s="55"/>
      <c r="B112" s="54"/>
      <c r="C112" s="25"/>
      <c r="D112" s="25"/>
      <c r="E112" s="58"/>
      <c r="F112" s="58"/>
      <c r="G112" s="58"/>
      <c r="H112" s="58"/>
      <c r="O112" s="54"/>
      <c r="P112" s="54"/>
    </row>
    <row r="113" spans="2:17" x14ac:dyDescent="0.2">
      <c r="B113" s="25"/>
      <c r="C113" s="25"/>
      <c r="D113" s="25"/>
      <c r="E113" s="58"/>
      <c r="F113" s="58"/>
      <c r="G113" s="58"/>
      <c r="H113" s="58"/>
      <c r="O113" s="54"/>
      <c r="P113" s="54"/>
    </row>
    <row r="114" spans="2:17" x14ac:dyDescent="0.2">
      <c r="B114" s="25"/>
      <c r="C114" s="25"/>
      <c r="D114" s="25"/>
      <c r="E114" s="58"/>
      <c r="F114" s="58"/>
      <c r="G114" s="58"/>
      <c r="H114" s="58"/>
      <c r="P114" s="54"/>
      <c r="Q114" s="57"/>
    </row>
    <row r="115" spans="2:17" x14ac:dyDescent="0.2">
      <c r="B115" s="25"/>
      <c r="C115" s="25"/>
      <c r="D115" s="25"/>
      <c r="E115" s="58"/>
      <c r="F115" s="58"/>
      <c r="G115" s="58"/>
      <c r="H115" s="58"/>
    </row>
    <row r="116" spans="2:17" x14ac:dyDescent="0.2">
      <c r="B116" s="25"/>
      <c r="C116" s="25"/>
      <c r="D116" s="25"/>
      <c r="E116" s="58"/>
      <c r="F116" s="58"/>
      <c r="G116" s="58"/>
      <c r="H116" s="58"/>
    </row>
    <row r="117" spans="2:17" x14ac:dyDescent="0.2">
      <c r="B117" s="25"/>
      <c r="C117" s="25"/>
      <c r="D117" s="25"/>
      <c r="E117" s="58"/>
      <c r="F117" s="58"/>
      <c r="G117" s="58"/>
      <c r="H117" s="58"/>
    </row>
    <row r="118" spans="2:17" x14ac:dyDescent="0.2">
      <c r="B118" s="25"/>
      <c r="C118" s="25"/>
      <c r="D118" s="25"/>
      <c r="E118" s="58"/>
      <c r="F118" s="58"/>
      <c r="G118" s="58"/>
      <c r="H118" s="58"/>
    </row>
    <row r="119" spans="2:17" x14ac:dyDescent="0.2">
      <c r="B119" s="25"/>
      <c r="C119" s="25"/>
      <c r="D119" s="25"/>
      <c r="E119" s="58"/>
      <c r="F119" s="58"/>
      <c r="G119" s="58"/>
      <c r="H119" s="58"/>
    </row>
    <row r="120" spans="2:17" x14ac:dyDescent="0.2">
      <c r="B120" s="25"/>
      <c r="C120" s="25"/>
      <c r="D120" s="25"/>
      <c r="E120" s="58"/>
      <c r="F120" s="58"/>
      <c r="G120" s="58"/>
      <c r="H120" s="58"/>
    </row>
    <row r="121" spans="2:17" x14ac:dyDescent="0.2">
      <c r="B121" s="25"/>
      <c r="C121" s="25"/>
      <c r="D121" s="25"/>
      <c r="E121" s="58"/>
      <c r="F121" s="58"/>
      <c r="G121" s="58"/>
      <c r="H121" s="58"/>
    </row>
    <row r="122" spans="2:17" x14ac:dyDescent="0.2">
      <c r="B122" s="25"/>
      <c r="C122" s="25"/>
      <c r="D122" s="25"/>
      <c r="E122" s="58"/>
      <c r="F122" s="58"/>
      <c r="G122" s="58"/>
      <c r="H122" s="58"/>
    </row>
    <row r="123" spans="2:17" x14ac:dyDescent="0.2">
      <c r="B123" s="25"/>
      <c r="C123" s="25"/>
      <c r="D123" s="25"/>
      <c r="E123" s="58"/>
      <c r="F123" s="58"/>
      <c r="G123" s="58"/>
      <c r="H123" s="58"/>
    </row>
    <row r="124" spans="2:17" x14ac:dyDescent="0.2">
      <c r="B124" s="25"/>
      <c r="C124" s="25"/>
      <c r="D124" s="25"/>
      <c r="E124" s="58"/>
      <c r="F124" s="58"/>
      <c r="G124" s="58"/>
      <c r="H124" s="58"/>
    </row>
    <row r="125" spans="2:17" x14ac:dyDescent="0.2">
      <c r="B125" s="25"/>
      <c r="C125" s="25"/>
      <c r="D125" s="25"/>
      <c r="E125" s="58"/>
      <c r="F125" s="58"/>
      <c r="G125" s="58"/>
      <c r="H125" s="58"/>
    </row>
    <row r="126" spans="2:17" x14ac:dyDescent="0.2">
      <c r="B126" s="25"/>
      <c r="C126" s="25"/>
      <c r="D126" s="25"/>
      <c r="E126" s="58"/>
      <c r="F126" s="58"/>
      <c r="G126" s="58"/>
      <c r="H126" s="58"/>
    </row>
    <row r="127" spans="2:17" x14ac:dyDescent="0.2">
      <c r="B127" s="25"/>
      <c r="C127" s="25"/>
      <c r="D127" s="25"/>
      <c r="E127" s="58"/>
      <c r="F127" s="58"/>
      <c r="G127" s="58"/>
      <c r="H127" s="58"/>
    </row>
    <row r="128" spans="2:17" x14ac:dyDescent="0.2">
      <c r="B128" s="25"/>
      <c r="C128" s="25"/>
      <c r="D128" s="25"/>
      <c r="E128" s="58"/>
      <c r="F128" s="58"/>
      <c r="G128" s="58"/>
      <c r="H128" s="58"/>
    </row>
    <row r="129" spans="2:8" x14ac:dyDescent="0.2">
      <c r="B129" s="25"/>
      <c r="C129" s="25"/>
      <c r="D129" s="25"/>
      <c r="E129" s="58"/>
      <c r="F129" s="58"/>
      <c r="G129" s="58"/>
      <c r="H129" s="58"/>
    </row>
    <row r="130" spans="2:8" x14ac:dyDescent="0.2">
      <c r="B130" s="25"/>
      <c r="C130" s="25"/>
      <c r="D130" s="25"/>
      <c r="E130" s="58"/>
      <c r="F130" s="58"/>
      <c r="G130" s="58"/>
      <c r="H130" s="58"/>
    </row>
    <row r="131" spans="2:8" x14ac:dyDescent="0.2">
      <c r="B131" s="25"/>
      <c r="C131" s="25"/>
      <c r="D131" s="25"/>
      <c r="E131" s="58"/>
      <c r="F131" s="58"/>
      <c r="G131" s="58"/>
      <c r="H131" s="58"/>
    </row>
    <row r="132" spans="2:8" x14ac:dyDescent="0.2">
      <c r="B132" s="25"/>
      <c r="C132" s="25"/>
      <c r="D132" s="25"/>
      <c r="E132" s="58"/>
      <c r="F132" s="58"/>
      <c r="G132" s="58"/>
      <c r="H132" s="58"/>
    </row>
    <row r="133" spans="2:8" x14ac:dyDescent="0.2">
      <c r="B133" s="25"/>
      <c r="C133" s="25"/>
      <c r="D133" s="25"/>
      <c r="E133" s="58"/>
      <c r="F133" s="58"/>
      <c r="G133" s="58"/>
      <c r="H133" s="58"/>
    </row>
    <row r="134" spans="2:8" x14ac:dyDescent="0.2">
      <c r="B134" s="25"/>
      <c r="C134" s="25"/>
      <c r="D134" s="25"/>
      <c r="E134" s="58"/>
      <c r="F134" s="58"/>
      <c r="G134" s="58"/>
      <c r="H134" s="58"/>
    </row>
    <row r="135" spans="2:8" x14ac:dyDescent="0.2">
      <c r="B135" s="25"/>
      <c r="C135" s="25"/>
      <c r="D135" s="25"/>
      <c r="E135" s="58"/>
      <c r="F135" s="58"/>
      <c r="G135" s="58"/>
      <c r="H135" s="58"/>
    </row>
    <row r="136" spans="2:8" x14ac:dyDescent="0.2">
      <c r="B136" s="25"/>
      <c r="C136" s="25"/>
      <c r="D136" s="25"/>
      <c r="E136" s="58"/>
      <c r="F136" s="58"/>
      <c r="G136" s="58"/>
      <c r="H136" s="58"/>
    </row>
    <row r="137" spans="2:8" x14ac:dyDescent="0.2">
      <c r="B137" s="25"/>
      <c r="C137" s="25"/>
      <c r="D137" s="25"/>
      <c r="E137" s="58"/>
      <c r="F137" s="58"/>
      <c r="G137" s="58"/>
      <c r="H137" s="58"/>
    </row>
    <row r="138" spans="2:8" x14ac:dyDescent="0.2">
      <c r="B138" s="25"/>
      <c r="C138" s="25"/>
      <c r="D138" s="25"/>
      <c r="E138" s="58"/>
      <c r="F138" s="58"/>
      <c r="G138" s="58"/>
      <c r="H138" s="58"/>
    </row>
    <row r="139" spans="2:8" x14ac:dyDescent="0.2">
      <c r="B139" s="25"/>
      <c r="C139" s="25"/>
      <c r="D139" s="25"/>
      <c r="E139" s="58"/>
      <c r="F139" s="58"/>
      <c r="G139" s="58"/>
      <c r="H139" s="58"/>
    </row>
    <row r="140" spans="2:8" x14ac:dyDescent="0.2">
      <c r="B140" s="25"/>
      <c r="C140" s="25"/>
      <c r="D140" s="25"/>
      <c r="E140" s="58"/>
      <c r="F140" s="58"/>
      <c r="G140" s="58"/>
      <c r="H140" s="58"/>
    </row>
    <row r="141" spans="2:8" x14ac:dyDescent="0.2">
      <c r="B141" s="25"/>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row r="154" spans="2:2" x14ac:dyDescent="0.2">
      <c r="B154" s="25"/>
    </row>
    <row r="155" spans="2:2" x14ac:dyDescent="0.2">
      <c r="B155" s="25"/>
    </row>
    <row r="156" spans="2:2" x14ac:dyDescent="0.2">
      <c r="B156" s="25"/>
    </row>
    <row r="157" spans="2:2" x14ac:dyDescent="0.2">
      <c r="B157" s="25"/>
    </row>
    <row r="158" spans="2:2" x14ac:dyDescent="0.2">
      <c r="B158" s="25"/>
    </row>
  </sheetData>
  <mergeCells count="4">
    <mergeCell ref="A100:L100"/>
    <mergeCell ref="A101:L101"/>
    <mergeCell ref="A104:L104"/>
    <mergeCell ref="K2:K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9" fitToHeight="99" pageOrder="overThenDown" orientation="portrait" blackAndWhite="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6">
    <pageSetUpPr fitToPage="1"/>
  </sheetPr>
  <dimension ref="A1:Q106"/>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1843</v>
      </c>
      <c r="C3" s="10" t="s">
        <v>1844</v>
      </c>
      <c r="D3" s="6"/>
      <c r="E3" s="11"/>
      <c r="F3" s="9"/>
      <c r="G3" s="11"/>
      <c r="H3" s="6"/>
      <c r="I3" s="11"/>
      <c r="J3" s="6"/>
      <c r="K3" s="1734"/>
      <c r="L3" s="6"/>
      <c r="M3" s="11"/>
      <c r="N3" s="6"/>
    </row>
    <row r="4" spans="1:16" s="4" customFormat="1" ht="15.75" x14ac:dyDescent="0.25">
      <c r="A4" s="1" t="s">
        <v>180</v>
      </c>
      <c r="B4" s="10" t="s">
        <v>267</v>
      </c>
      <c r="C4" s="10" t="s">
        <v>41</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1845</v>
      </c>
      <c r="B11" s="36"/>
      <c r="C11" s="89"/>
      <c r="E11" s="89"/>
      <c r="I11" s="89"/>
      <c r="K11" s="89"/>
      <c r="M11" s="89"/>
    </row>
    <row r="12" spans="1:16" s="40" customFormat="1" x14ac:dyDescent="0.2">
      <c r="A12" s="41" t="s">
        <v>1846</v>
      </c>
      <c r="B12" s="39"/>
      <c r="C12" s="76">
        <v>24400</v>
      </c>
      <c r="E12" s="76">
        <v>23679</v>
      </c>
      <c r="G12" s="76">
        <v>24400</v>
      </c>
      <c r="I12" s="76">
        <v>23600</v>
      </c>
      <c r="K12" s="76">
        <v>23600</v>
      </c>
      <c r="M12" s="333"/>
    </row>
    <row r="13" spans="1:16" s="40" customFormat="1" x14ac:dyDescent="0.2">
      <c r="A13" s="90" t="s">
        <v>1847</v>
      </c>
      <c r="B13" s="39"/>
      <c r="C13" s="76">
        <v>14700</v>
      </c>
      <c r="E13" s="76">
        <v>14447</v>
      </c>
      <c r="G13" s="76">
        <v>14700</v>
      </c>
      <c r="I13" s="76">
        <v>14400</v>
      </c>
      <c r="K13" s="76">
        <v>14400</v>
      </c>
      <c r="M13" s="333"/>
    </row>
    <row r="14" spans="1:16" s="40" customFormat="1" x14ac:dyDescent="0.2">
      <c r="A14" s="90" t="s">
        <v>1848</v>
      </c>
      <c r="B14" s="39"/>
      <c r="C14" s="76">
        <v>2700</v>
      </c>
      <c r="E14" s="76">
        <v>2994</v>
      </c>
      <c r="G14" s="76">
        <v>2700</v>
      </c>
      <c r="I14" s="76">
        <v>3000</v>
      </c>
      <c r="K14" s="76">
        <v>3000</v>
      </c>
      <c r="M14" s="333"/>
    </row>
    <row r="15" spans="1:16" s="40" customFormat="1" x14ac:dyDescent="0.2">
      <c r="A15" s="90" t="s">
        <v>1849</v>
      </c>
      <c r="B15" s="39"/>
      <c r="C15" s="76">
        <v>7000</v>
      </c>
      <c r="E15" s="76">
        <v>6238</v>
      </c>
      <c r="G15" s="76">
        <v>7000</v>
      </c>
      <c r="I15" s="76">
        <v>6200</v>
      </c>
      <c r="K15" s="76">
        <v>6200</v>
      </c>
      <c r="M15" s="333"/>
    </row>
    <row r="16" spans="1:16" s="40" customFormat="1" x14ac:dyDescent="0.2">
      <c r="A16" s="41" t="s">
        <v>1850</v>
      </c>
      <c r="B16" s="39"/>
      <c r="C16" s="76">
        <v>11440</v>
      </c>
      <c r="E16" s="76">
        <v>11463</v>
      </c>
      <c r="G16" s="76">
        <v>11440</v>
      </c>
      <c r="I16" s="76">
        <v>11457</v>
      </c>
      <c r="K16" s="76">
        <v>11457</v>
      </c>
      <c r="M16" s="333"/>
    </row>
    <row r="17" spans="1:13" s="40" customFormat="1" x14ac:dyDescent="0.2">
      <c r="A17" s="41" t="s">
        <v>1851</v>
      </c>
      <c r="B17" s="39"/>
      <c r="C17" s="76">
        <v>6170</v>
      </c>
      <c r="E17" s="76">
        <v>5984</v>
      </c>
      <c r="G17" s="76">
        <v>6029</v>
      </c>
      <c r="I17" s="76">
        <v>6044</v>
      </c>
      <c r="K17" s="76">
        <v>6044</v>
      </c>
      <c r="M17" s="333"/>
    </row>
    <row r="18" spans="1:13" s="40" customFormat="1" x14ac:dyDescent="0.2">
      <c r="A18" s="90" t="s">
        <v>1852</v>
      </c>
      <c r="B18" s="39"/>
      <c r="C18" s="1105">
        <v>1.02</v>
      </c>
      <c r="D18" s="118"/>
      <c r="E18" s="1105">
        <v>0.99</v>
      </c>
      <c r="F18" s="118"/>
      <c r="G18" s="1105">
        <v>1</v>
      </c>
      <c r="H18" s="118"/>
      <c r="I18" s="1105">
        <v>1</v>
      </c>
      <c r="J18" s="118"/>
      <c r="K18" s="1105">
        <v>1</v>
      </c>
      <c r="L18" s="118"/>
      <c r="M18" s="1106"/>
    </row>
    <row r="19" spans="1:13" s="40" customFormat="1" x14ac:dyDescent="0.2">
      <c r="A19" s="41" t="s">
        <v>1853</v>
      </c>
      <c r="B19" s="39"/>
      <c r="C19" s="112">
        <v>2238</v>
      </c>
      <c r="D19" s="118"/>
      <c r="E19" s="112">
        <v>2248</v>
      </c>
      <c r="F19" s="118"/>
      <c r="G19" s="112">
        <v>2237</v>
      </c>
      <c r="H19" s="118"/>
      <c r="I19" s="112">
        <v>2248</v>
      </c>
      <c r="J19" s="118"/>
      <c r="K19" s="112">
        <v>2248</v>
      </c>
      <c r="L19" s="118"/>
      <c r="M19" s="333"/>
    </row>
    <row r="20" spans="1:13" s="40" customFormat="1" x14ac:dyDescent="0.2">
      <c r="A20" s="90" t="s">
        <v>1854</v>
      </c>
      <c r="B20" s="39"/>
      <c r="C20" s="1105">
        <v>1.0900000000000001</v>
      </c>
      <c r="D20" s="118"/>
      <c r="E20" s="1105">
        <v>1.1000000000000001</v>
      </c>
      <c r="F20" s="118"/>
      <c r="G20" s="1105">
        <v>1.0900000000000001</v>
      </c>
      <c r="H20" s="118"/>
      <c r="I20" s="1105">
        <v>1.1000000000000001</v>
      </c>
      <c r="J20" s="118"/>
      <c r="K20" s="1105">
        <v>1.1000000000000001</v>
      </c>
      <c r="L20" s="118"/>
      <c r="M20" s="1106"/>
    </row>
    <row r="21" spans="1:13" s="37" customFormat="1" x14ac:dyDescent="0.2">
      <c r="A21" s="35" t="s">
        <v>1855</v>
      </c>
      <c r="B21" s="36"/>
      <c r="C21" s="402"/>
      <c r="D21" s="141"/>
      <c r="E21" s="402"/>
      <c r="F21" s="141"/>
      <c r="G21" s="402"/>
      <c r="H21" s="141"/>
      <c r="I21" s="402"/>
      <c r="J21" s="141"/>
      <c r="K21" s="402"/>
      <c r="L21" s="141"/>
    </row>
    <row r="22" spans="1:13" s="40" customFormat="1" x14ac:dyDescent="0.2">
      <c r="A22" s="41" t="s">
        <v>1856</v>
      </c>
      <c r="B22" s="39"/>
      <c r="C22" s="111"/>
      <c r="D22" s="118"/>
      <c r="E22" s="111"/>
      <c r="F22" s="118"/>
      <c r="G22" s="111"/>
      <c r="H22" s="118"/>
      <c r="I22" s="111"/>
      <c r="J22" s="118"/>
      <c r="K22" s="111"/>
      <c r="L22" s="118"/>
    </row>
    <row r="23" spans="1:13" s="40" customFormat="1" x14ac:dyDescent="0.2">
      <c r="A23" s="90" t="s">
        <v>1857</v>
      </c>
      <c r="B23" s="39"/>
      <c r="C23" s="112">
        <v>28896</v>
      </c>
      <c r="D23" s="118"/>
      <c r="E23" s="112">
        <v>29556</v>
      </c>
      <c r="F23" s="118"/>
      <c r="G23" s="112">
        <v>30000</v>
      </c>
      <c r="H23" s="118"/>
      <c r="I23" s="112">
        <v>30000</v>
      </c>
      <c r="J23" s="118"/>
      <c r="K23" s="112">
        <v>30000</v>
      </c>
      <c r="L23" s="118"/>
      <c r="M23" s="77"/>
    </row>
    <row r="24" spans="1:13" s="40" customFormat="1" x14ac:dyDescent="0.2">
      <c r="A24" s="90" t="s">
        <v>1858</v>
      </c>
      <c r="B24" s="39"/>
      <c r="C24" s="112">
        <v>41004</v>
      </c>
      <c r="D24" s="118"/>
      <c r="E24" s="112">
        <v>46668</v>
      </c>
      <c r="F24" s="118"/>
      <c r="G24" s="112">
        <v>43000</v>
      </c>
      <c r="H24" s="118"/>
      <c r="I24" s="112">
        <v>43000</v>
      </c>
      <c r="J24" s="118"/>
      <c r="K24" s="112">
        <v>43000</v>
      </c>
      <c r="L24" s="118"/>
      <c r="M24" s="77"/>
    </row>
    <row r="25" spans="1:13" s="40" customFormat="1" x14ac:dyDescent="0.2">
      <c r="A25" s="90" t="s">
        <v>1612</v>
      </c>
      <c r="B25" s="39"/>
      <c r="C25" s="112">
        <v>10632</v>
      </c>
      <c r="D25" s="118"/>
      <c r="E25" s="112">
        <v>21240</v>
      </c>
      <c r="F25" s="118"/>
      <c r="G25" s="112">
        <v>10800</v>
      </c>
      <c r="H25" s="118"/>
      <c r="I25" s="112">
        <v>20000</v>
      </c>
      <c r="J25" s="118"/>
      <c r="K25" s="112">
        <v>20000</v>
      </c>
      <c r="L25" s="118"/>
      <c r="M25" s="77"/>
    </row>
    <row r="26" spans="1:13" s="40" customFormat="1" x14ac:dyDescent="0.2">
      <c r="A26" s="90" t="s">
        <v>1859</v>
      </c>
      <c r="B26" s="39"/>
      <c r="C26" s="112">
        <v>5100</v>
      </c>
      <c r="D26" s="118"/>
      <c r="E26" s="112">
        <v>5976</v>
      </c>
      <c r="F26" s="118"/>
      <c r="G26" s="112">
        <v>5100</v>
      </c>
      <c r="H26" s="118"/>
      <c r="I26" s="112">
        <v>6000</v>
      </c>
      <c r="J26" s="118"/>
      <c r="K26" s="112">
        <v>6000</v>
      </c>
      <c r="L26" s="118"/>
      <c r="M26" s="77"/>
    </row>
    <row r="27" spans="1:13" s="40" customFormat="1" x14ac:dyDescent="0.2">
      <c r="A27" s="90" t="s">
        <v>1860</v>
      </c>
      <c r="B27" s="39"/>
      <c r="C27" s="112">
        <v>41096</v>
      </c>
      <c r="D27" s="118"/>
      <c r="E27" s="112">
        <v>52152</v>
      </c>
      <c r="F27" s="118"/>
      <c r="G27" s="112">
        <v>41000</v>
      </c>
      <c r="H27" s="118"/>
      <c r="I27" s="112">
        <v>50000</v>
      </c>
      <c r="J27" s="118"/>
      <c r="K27" s="112">
        <v>50000</v>
      </c>
      <c r="L27" s="118"/>
      <c r="M27" s="77"/>
    </row>
    <row r="28" spans="1:13" s="40" customFormat="1" x14ac:dyDescent="0.2">
      <c r="A28" s="90" t="s">
        <v>1861</v>
      </c>
      <c r="B28" s="39"/>
      <c r="C28" s="112">
        <v>37926</v>
      </c>
      <c r="D28" s="118"/>
      <c r="E28" s="112">
        <v>38000</v>
      </c>
      <c r="F28" s="118"/>
      <c r="G28" s="112">
        <v>38000</v>
      </c>
      <c r="H28" s="118"/>
      <c r="I28" s="112">
        <v>38000</v>
      </c>
      <c r="J28" s="118"/>
      <c r="K28" s="112">
        <v>38000</v>
      </c>
      <c r="L28" s="118"/>
      <c r="M28" s="77"/>
    </row>
    <row r="29" spans="1:13" s="40" customFormat="1" x14ac:dyDescent="0.2">
      <c r="A29" s="90" t="s">
        <v>1862</v>
      </c>
      <c r="B29" s="39"/>
      <c r="C29" s="112">
        <v>80524</v>
      </c>
      <c r="D29" s="118"/>
      <c r="E29" s="112">
        <v>42912</v>
      </c>
      <c r="F29" s="118"/>
      <c r="G29" s="112">
        <v>81000</v>
      </c>
      <c r="H29" s="118"/>
      <c r="I29" s="112">
        <v>50000</v>
      </c>
      <c r="J29" s="118"/>
      <c r="K29" s="112">
        <v>50000</v>
      </c>
      <c r="L29" s="118"/>
      <c r="M29" s="77"/>
    </row>
    <row r="30" spans="1:13" s="40" customFormat="1" x14ac:dyDescent="0.2">
      <c r="A30" s="131"/>
      <c r="B30" s="39"/>
      <c r="C30" s="111"/>
      <c r="D30" s="118"/>
      <c r="E30" s="111"/>
      <c r="F30" s="118"/>
      <c r="G30" s="111"/>
      <c r="H30" s="118"/>
      <c r="I30" s="111"/>
      <c r="J30" s="118"/>
      <c r="K30" s="111"/>
      <c r="L30" s="118"/>
    </row>
    <row r="31" spans="1:13" s="37" customFormat="1" x14ac:dyDescent="0.2">
      <c r="A31" s="35" t="s">
        <v>194</v>
      </c>
      <c r="B31" s="36"/>
      <c r="C31" s="402"/>
      <c r="D31" s="141"/>
      <c r="E31" s="402"/>
      <c r="F31" s="141"/>
      <c r="G31" s="402"/>
      <c r="H31" s="141"/>
      <c r="I31" s="402"/>
      <c r="J31" s="141"/>
      <c r="K31" s="402"/>
      <c r="L31" s="141"/>
    </row>
    <row r="32" spans="1:13" s="40" customFormat="1" x14ac:dyDescent="0.2">
      <c r="A32" s="38" t="s">
        <v>254</v>
      </c>
      <c r="B32" s="39"/>
      <c r="C32" s="111"/>
      <c r="D32" s="118"/>
      <c r="E32" s="111"/>
      <c r="F32" s="118"/>
      <c r="G32" s="111"/>
      <c r="H32" s="118"/>
      <c r="I32" s="111"/>
      <c r="J32" s="118"/>
      <c r="K32" s="111"/>
      <c r="L32" s="118"/>
    </row>
    <row r="33" spans="1:13" s="40" customFormat="1" x14ac:dyDescent="0.2">
      <c r="A33" s="41" t="s">
        <v>332</v>
      </c>
      <c r="B33" s="39"/>
      <c r="C33" s="112">
        <v>230</v>
      </c>
      <c r="D33" s="118"/>
      <c r="E33" s="112">
        <v>234</v>
      </c>
      <c r="F33" s="118"/>
      <c r="G33" s="112"/>
      <c r="H33" s="118"/>
      <c r="I33" s="112">
        <v>234</v>
      </c>
      <c r="J33" s="118"/>
      <c r="K33" s="112"/>
      <c r="L33" s="118"/>
      <c r="M33" s="77"/>
    </row>
    <row r="34" spans="1:13" s="40" customFormat="1" x14ac:dyDescent="0.2">
      <c r="A34" s="41" t="s">
        <v>256</v>
      </c>
      <c r="B34" s="39"/>
      <c r="C34" s="391">
        <f>C33/1404</f>
        <v>0.16381766381766383</v>
      </c>
      <c r="D34" s="118"/>
      <c r="E34" s="391">
        <f>E33/1377</f>
        <v>0.16993464052287582</v>
      </c>
      <c r="F34" s="118"/>
      <c r="G34" s="391">
        <f t="shared" ref="G34:H34" si="0">G33/1377</f>
        <v>0</v>
      </c>
      <c r="H34" s="391">
        <f t="shared" si="0"/>
        <v>0</v>
      </c>
      <c r="I34" s="391">
        <f>I33/1426</f>
        <v>0.1640953716690042</v>
      </c>
      <c r="J34" s="118"/>
      <c r="K34" s="391"/>
      <c r="L34" s="118"/>
      <c r="M34" s="101"/>
    </row>
    <row r="35" spans="1:13" s="40" customFormat="1" x14ac:dyDescent="0.2">
      <c r="A35" s="41" t="s">
        <v>257</v>
      </c>
      <c r="B35" s="39"/>
      <c r="C35" s="112">
        <v>705</v>
      </c>
      <c r="D35" s="118"/>
      <c r="E35" s="112">
        <v>682</v>
      </c>
      <c r="F35" s="118"/>
      <c r="G35" s="112"/>
      <c r="H35" s="118"/>
      <c r="I35" s="112">
        <v>682</v>
      </c>
      <c r="J35" s="118"/>
      <c r="K35" s="112"/>
      <c r="L35" s="118"/>
      <c r="M35" s="77"/>
    </row>
    <row r="36" spans="1:13" s="40" customFormat="1" x14ac:dyDescent="0.2">
      <c r="A36" s="41" t="s">
        <v>258</v>
      </c>
      <c r="B36" s="39"/>
      <c r="C36" s="391">
        <f>C35/1404</f>
        <v>0.50213675213675213</v>
      </c>
      <c r="D36" s="118"/>
      <c r="E36" s="391">
        <f>E35/1377</f>
        <v>0.495279593318809</v>
      </c>
      <c r="F36" s="118"/>
      <c r="G36" s="391">
        <f t="shared" ref="G36:H36" si="1">G35/1377</f>
        <v>0</v>
      </c>
      <c r="H36" s="391">
        <f t="shared" si="1"/>
        <v>0</v>
      </c>
      <c r="I36" s="391">
        <f>I35/1426</f>
        <v>0.47826086956521741</v>
      </c>
      <c r="J36" s="118"/>
      <c r="K36" s="391"/>
      <c r="L36" s="118"/>
      <c r="M36" s="101"/>
    </row>
    <row r="37" spans="1:13" s="40" customFormat="1" x14ac:dyDescent="0.2">
      <c r="A37" s="41" t="s">
        <v>259</v>
      </c>
      <c r="B37" s="39"/>
      <c r="C37" s="112">
        <v>935</v>
      </c>
      <c r="D37" s="118"/>
      <c r="E37" s="112">
        <v>916</v>
      </c>
      <c r="F37" s="118"/>
      <c r="G37" s="112"/>
      <c r="H37" s="118"/>
      <c r="I37" s="112">
        <v>916</v>
      </c>
      <c r="J37" s="118"/>
      <c r="K37" s="112"/>
      <c r="L37" s="118"/>
      <c r="M37" s="77"/>
    </row>
    <row r="38" spans="1:13" s="40" customFormat="1" x14ac:dyDescent="0.2">
      <c r="A38" s="41" t="s">
        <v>260</v>
      </c>
      <c r="B38" s="39"/>
      <c r="C38" s="391">
        <f>C37/1404</f>
        <v>0.66595441595441596</v>
      </c>
      <c r="D38" s="118"/>
      <c r="E38" s="391">
        <f>E37/1377</f>
        <v>0.66521423384168488</v>
      </c>
      <c r="F38" s="118"/>
      <c r="G38" s="391">
        <f t="shared" ref="G38:H38" si="2">G37/1377</f>
        <v>0</v>
      </c>
      <c r="H38" s="391">
        <f t="shared" si="2"/>
        <v>0</v>
      </c>
      <c r="I38" s="391">
        <f>I37/1426</f>
        <v>0.64235624123422164</v>
      </c>
      <c r="J38" s="118"/>
      <c r="K38" s="391"/>
      <c r="L38" s="118"/>
      <c r="M38" s="101"/>
    </row>
    <row r="39" spans="1:13" s="37" customFormat="1" x14ac:dyDescent="0.2">
      <c r="A39" s="35" t="s">
        <v>211</v>
      </c>
      <c r="B39" s="36"/>
      <c r="C39" s="87"/>
      <c r="E39" s="87"/>
      <c r="G39" s="87"/>
      <c r="I39" s="87"/>
      <c r="K39" s="87"/>
    </row>
    <row r="40" spans="1:13" s="37" customFormat="1" x14ac:dyDescent="0.2">
      <c r="A40" s="35" t="s">
        <v>195</v>
      </c>
      <c r="B40" s="36"/>
      <c r="C40" s="87"/>
      <c r="E40" s="87"/>
      <c r="G40" s="87"/>
      <c r="I40" s="87"/>
      <c r="K40" s="87"/>
    </row>
    <row r="41" spans="1:13" s="40" customFormat="1" x14ac:dyDescent="0.2">
      <c r="A41" s="38" t="s">
        <v>196</v>
      </c>
      <c r="B41" s="39"/>
      <c r="C41" s="63"/>
      <c r="E41" s="63"/>
      <c r="G41" s="63"/>
      <c r="I41" s="63"/>
      <c r="K41" s="63"/>
    </row>
    <row r="42" spans="1:13" s="40" customFormat="1" x14ac:dyDescent="0.2">
      <c r="A42" s="41" t="s">
        <v>197</v>
      </c>
      <c r="B42" s="39"/>
      <c r="C42" s="76">
        <v>49</v>
      </c>
      <c r="E42" s="76">
        <v>47</v>
      </c>
      <c r="G42" s="76">
        <v>46</v>
      </c>
      <c r="I42" s="76">
        <v>49</v>
      </c>
      <c r="K42" s="76">
        <v>49</v>
      </c>
      <c r="M42" s="333"/>
    </row>
    <row r="43" spans="1:13" s="40" customFormat="1" x14ac:dyDescent="0.2">
      <c r="A43" s="41" t="s">
        <v>261</v>
      </c>
      <c r="B43" s="39"/>
      <c r="C43" s="76">
        <v>143</v>
      </c>
      <c r="E43" s="76">
        <v>147</v>
      </c>
      <c r="G43" s="76">
        <v>147</v>
      </c>
      <c r="I43" s="76">
        <v>154</v>
      </c>
      <c r="K43" s="76">
        <v>155</v>
      </c>
      <c r="M43" s="333"/>
    </row>
    <row r="44" spans="1:13" s="40" customFormat="1" x14ac:dyDescent="0.2">
      <c r="A44" s="41" t="s">
        <v>198</v>
      </c>
      <c r="B44" s="39"/>
      <c r="C44" s="76">
        <f>SUM(C42:C43)</f>
        <v>192</v>
      </c>
      <c r="E44" s="76">
        <f>SUM(E42:E43)</f>
        <v>194</v>
      </c>
      <c r="G44" s="76">
        <f>SUM(G42:G43)</f>
        <v>193</v>
      </c>
      <c r="I44" s="76">
        <f>SUM(I42:I43)</f>
        <v>203</v>
      </c>
      <c r="K44" s="76">
        <f>SUM(K42:K43)</f>
        <v>204</v>
      </c>
      <c r="M44" s="333"/>
    </row>
    <row r="45" spans="1:13" s="40" customFormat="1" x14ac:dyDescent="0.2">
      <c r="A45" s="38" t="s">
        <v>199</v>
      </c>
      <c r="B45" s="39"/>
      <c r="C45" s="63"/>
      <c r="E45" s="63"/>
      <c r="G45" s="63"/>
      <c r="I45" s="63"/>
      <c r="K45" s="63"/>
    </row>
    <row r="46" spans="1:13" s="40" customFormat="1" x14ac:dyDescent="0.2">
      <c r="A46" s="41" t="s">
        <v>1845</v>
      </c>
      <c r="B46" s="39"/>
      <c r="C46" s="76">
        <v>149</v>
      </c>
      <c r="E46" s="76">
        <v>151</v>
      </c>
      <c r="G46" s="76">
        <v>151</v>
      </c>
      <c r="I46" s="76">
        <f>4+154</f>
        <v>158</v>
      </c>
      <c r="K46" s="76">
        <v>159</v>
      </c>
      <c r="M46" s="333"/>
    </row>
    <row r="47" spans="1:13" s="40" customFormat="1" x14ac:dyDescent="0.2">
      <c r="A47" s="41" t="s">
        <v>1855</v>
      </c>
      <c r="B47" s="39"/>
      <c r="C47" s="76">
        <v>4</v>
      </c>
      <c r="E47" s="76">
        <v>4</v>
      </c>
      <c r="G47" s="76">
        <v>4</v>
      </c>
      <c r="I47" s="76">
        <v>2</v>
      </c>
      <c r="K47" s="76">
        <v>4</v>
      </c>
      <c r="M47" s="333"/>
    </row>
    <row r="48" spans="1:13" s="40" customFormat="1" x14ac:dyDescent="0.2">
      <c r="A48" s="41" t="s">
        <v>263</v>
      </c>
      <c r="B48" s="39"/>
      <c r="C48" s="76">
        <v>39</v>
      </c>
      <c r="E48" s="76">
        <v>39</v>
      </c>
      <c r="G48" s="76">
        <v>38</v>
      </c>
      <c r="I48" s="76">
        <v>43</v>
      </c>
      <c r="K48" s="76">
        <v>41</v>
      </c>
      <c r="M48" s="333"/>
    </row>
    <row r="49" spans="1:17" s="40" customFormat="1" x14ac:dyDescent="0.2">
      <c r="A49" s="41" t="s">
        <v>198</v>
      </c>
      <c r="B49" s="39"/>
      <c r="C49" s="76">
        <f>SUM(C46:C48)</f>
        <v>192</v>
      </c>
      <c r="E49" s="76">
        <f>SUM(E46:E48)</f>
        <v>194</v>
      </c>
      <c r="G49" s="76">
        <f>SUM(G46:G48)</f>
        <v>193</v>
      </c>
      <c r="I49" s="76">
        <f>SUM(I46:I48)</f>
        <v>203</v>
      </c>
      <c r="K49" s="76">
        <f>SUM(K46:K48)</f>
        <v>204</v>
      </c>
      <c r="M49" s="333"/>
    </row>
    <row r="50" spans="1:17" s="37" customFormat="1" x14ac:dyDescent="0.2">
      <c r="A50" s="35"/>
      <c r="B50" s="36"/>
      <c r="K50" s="76"/>
    </row>
    <row r="51" spans="1:17" s="48" customFormat="1" x14ac:dyDescent="0.2">
      <c r="A51" s="46"/>
      <c r="B51" s="47"/>
    </row>
    <row r="52" spans="1:17" s="48" customFormat="1" x14ac:dyDescent="0.2">
      <c r="A52" s="49" t="s">
        <v>200</v>
      </c>
      <c r="B52" s="50"/>
      <c r="C52" s="51"/>
      <c r="D52" s="52"/>
      <c r="E52" s="53"/>
      <c r="F52" s="52"/>
      <c r="G52" s="53"/>
      <c r="H52" s="52"/>
      <c r="I52" s="53"/>
      <c r="J52" s="52"/>
      <c r="K52" s="53"/>
      <c r="L52" s="52"/>
      <c r="M52" s="51"/>
      <c r="N52" s="52"/>
    </row>
    <row r="53" spans="1:17" ht="27.75" customHeight="1" x14ac:dyDescent="0.2">
      <c r="A53" s="1738" t="s">
        <v>524</v>
      </c>
      <c r="B53" s="1736"/>
      <c r="C53" s="1737"/>
      <c r="D53" s="1736"/>
      <c r="E53" s="1737"/>
      <c r="F53" s="1736"/>
      <c r="G53" s="1737"/>
      <c r="H53" s="1736"/>
      <c r="I53" s="1737"/>
      <c r="J53" s="1736"/>
      <c r="K53" s="1737"/>
      <c r="L53" s="1736"/>
      <c r="M53" s="1737"/>
      <c r="N53" s="1736"/>
      <c r="O53" s="54"/>
      <c r="P53" s="54"/>
      <c r="Q53" s="951"/>
    </row>
    <row r="54" spans="1:17" ht="15" x14ac:dyDescent="0.2">
      <c r="A54" s="1108"/>
      <c r="B54" s="54"/>
      <c r="C54" s="107"/>
      <c r="D54" s="54"/>
      <c r="E54" s="107"/>
      <c r="F54" s="54"/>
      <c r="G54" s="107"/>
      <c r="H54" s="54"/>
      <c r="I54" s="107"/>
      <c r="J54" s="54"/>
      <c r="K54" s="107"/>
      <c r="L54" s="54"/>
      <c r="M54" s="107"/>
      <c r="N54" s="54"/>
      <c r="O54" s="54"/>
      <c r="P54" s="54"/>
    </row>
    <row r="55" spans="1:17" x14ac:dyDescent="0.2">
      <c r="A55" s="1086"/>
      <c r="B55" s="54"/>
      <c r="C55" s="107"/>
      <c r="D55" s="54"/>
      <c r="E55" s="107"/>
      <c r="F55" s="54"/>
      <c r="G55" s="107"/>
      <c r="H55" s="54"/>
      <c r="I55" s="107"/>
      <c r="J55" s="54"/>
      <c r="K55" s="107"/>
      <c r="L55" s="54"/>
      <c r="M55" s="107"/>
      <c r="N55" s="54"/>
      <c r="O55" s="54"/>
      <c r="P55" s="54"/>
    </row>
    <row r="56" spans="1:17" x14ac:dyDescent="0.2">
      <c r="A56" s="55"/>
      <c r="B56" s="54"/>
      <c r="C56" s="107"/>
      <c r="D56" s="54"/>
      <c r="E56" s="107"/>
      <c r="F56" s="54"/>
      <c r="G56" s="107"/>
      <c r="H56" s="54"/>
      <c r="I56" s="107"/>
      <c r="J56" s="54"/>
      <c r="K56" s="107"/>
      <c r="L56" s="54"/>
      <c r="M56" s="107"/>
      <c r="N56" s="54"/>
      <c r="O56" s="54"/>
      <c r="P56" s="54"/>
    </row>
    <row r="57" spans="1:17" x14ac:dyDescent="0.2">
      <c r="A57" s="55"/>
      <c r="B57" s="54"/>
      <c r="C57" s="107"/>
      <c r="D57" s="54"/>
      <c r="E57" s="107"/>
      <c r="F57" s="54"/>
      <c r="G57" s="107"/>
      <c r="H57" s="54"/>
      <c r="I57" s="107"/>
      <c r="J57" s="54"/>
      <c r="K57" s="107"/>
      <c r="L57" s="54"/>
      <c r="M57" s="107"/>
      <c r="N57" s="54"/>
      <c r="O57" s="54"/>
      <c r="P57" s="54"/>
    </row>
    <row r="58" spans="1:17" x14ac:dyDescent="0.2">
      <c r="A58" s="55"/>
      <c r="B58" s="54"/>
      <c r="C58" s="107"/>
      <c r="D58" s="54"/>
      <c r="E58" s="107"/>
      <c r="F58" s="54"/>
      <c r="G58" s="107"/>
      <c r="H58" s="54"/>
      <c r="I58" s="107"/>
      <c r="J58" s="54"/>
      <c r="K58" s="107"/>
      <c r="L58" s="54"/>
      <c r="M58" s="107"/>
      <c r="N58" s="54"/>
      <c r="O58" s="54"/>
      <c r="P58" s="54"/>
    </row>
    <row r="59" spans="1:17" x14ac:dyDescent="0.2">
      <c r="A59" s="55"/>
      <c r="B59" s="54"/>
      <c r="C59" s="107"/>
      <c r="D59" s="54"/>
      <c r="E59" s="107"/>
      <c r="F59" s="54"/>
      <c r="G59" s="107"/>
      <c r="H59" s="54"/>
      <c r="I59" s="107"/>
      <c r="J59" s="54"/>
      <c r="K59" s="107"/>
      <c r="L59" s="54"/>
      <c r="M59" s="107"/>
      <c r="N59" s="54"/>
      <c r="O59" s="54"/>
      <c r="P59" s="54"/>
    </row>
    <row r="60" spans="1:17" x14ac:dyDescent="0.2">
      <c r="A60" s="55"/>
      <c r="B60" s="54"/>
      <c r="C60" s="107"/>
      <c r="D60" s="54"/>
      <c r="E60" s="107"/>
      <c r="F60" s="54"/>
      <c r="G60" s="107"/>
      <c r="H60" s="54"/>
      <c r="I60" s="107"/>
      <c r="J60" s="54"/>
      <c r="K60" s="107"/>
      <c r="L60" s="54"/>
      <c r="M60" s="107"/>
      <c r="N60" s="54"/>
      <c r="O60" s="54"/>
      <c r="P60" s="54"/>
      <c r="Q60" s="57"/>
    </row>
    <row r="61" spans="1:17" x14ac:dyDescent="0.2">
      <c r="B61" s="25"/>
      <c r="C61" s="58"/>
      <c r="D61" s="25"/>
      <c r="E61" s="58"/>
      <c r="F61" s="58"/>
      <c r="G61" s="58"/>
      <c r="H61" s="58"/>
    </row>
    <row r="62" spans="1:17" x14ac:dyDescent="0.2">
      <c r="B62" s="25"/>
      <c r="C62" s="58"/>
      <c r="D62" s="25"/>
      <c r="E62" s="58"/>
      <c r="F62" s="58"/>
      <c r="G62" s="58"/>
      <c r="H62" s="58"/>
    </row>
    <row r="63" spans="1:17" x14ac:dyDescent="0.2">
      <c r="B63" s="25"/>
      <c r="C63" s="58"/>
      <c r="D63" s="25"/>
      <c r="E63" s="58"/>
      <c r="F63" s="58"/>
      <c r="G63" s="58"/>
      <c r="H63" s="58"/>
    </row>
    <row r="64" spans="1:17" x14ac:dyDescent="0.2">
      <c r="B64" s="25"/>
      <c r="C64" s="58"/>
      <c r="D64" s="25"/>
      <c r="E64" s="58"/>
      <c r="F64" s="58"/>
      <c r="G64" s="58"/>
      <c r="H64" s="58"/>
    </row>
    <row r="65" spans="2:8" x14ac:dyDescent="0.2">
      <c r="B65" s="25"/>
      <c r="C65" s="58"/>
      <c r="D65" s="25"/>
      <c r="E65" s="58"/>
      <c r="F65" s="58"/>
      <c r="G65" s="58"/>
      <c r="H65" s="58"/>
    </row>
    <row r="66" spans="2:8" x14ac:dyDescent="0.2">
      <c r="B66" s="25"/>
      <c r="C66" s="58"/>
      <c r="D66" s="25"/>
      <c r="E66" s="58"/>
      <c r="F66" s="58"/>
      <c r="G66" s="58"/>
      <c r="H66" s="58"/>
    </row>
    <row r="67" spans="2:8" x14ac:dyDescent="0.2">
      <c r="B67" s="25"/>
      <c r="C67" s="58"/>
      <c r="D67" s="25"/>
      <c r="E67" s="58"/>
      <c r="F67" s="58"/>
      <c r="G67" s="58"/>
      <c r="H67" s="58"/>
    </row>
    <row r="68" spans="2:8" x14ac:dyDescent="0.2">
      <c r="B68" s="25"/>
      <c r="C68" s="58"/>
      <c r="D68" s="25"/>
      <c r="E68" s="58"/>
      <c r="F68" s="58"/>
      <c r="G68" s="58"/>
      <c r="H68" s="58"/>
    </row>
    <row r="69" spans="2:8" x14ac:dyDescent="0.2">
      <c r="B69" s="25"/>
      <c r="C69" s="58"/>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sheetData>
  <mergeCells count="2">
    <mergeCell ref="A53:N53"/>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3" fitToHeight="99" pageOrder="overThenDown" orientation="portrait" blackAndWhite="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7">
    <pageSetUpPr fitToPage="1"/>
  </sheetPr>
  <dimension ref="A1:Q9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1843</v>
      </c>
      <c r="C3" s="10" t="s">
        <v>1844</v>
      </c>
      <c r="D3" s="6"/>
      <c r="E3" s="11"/>
      <c r="F3" s="9"/>
      <c r="G3" s="11"/>
      <c r="H3" s="6"/>
      <c r="I3" s="11"/>
      <c r="J3" s="6"/>
      <c r="K3" s="1734"/>
      <c r="L3" s="6"/>
      <c r="M3" s="11"/>
      <c r="N3" s="6"/>
    </row>
    <row r="4" spans="1:16" s="4" customFormat="1" ht="15.75" x14ac:dyDescent="0.25">
      <c r="A4" s="1" t="s">
        <v>180</v>
      </c>
      <c r="B4" s="10" t="s">
        <v>1863</v>
      </c>
      <c r="C4" s="10" t="s">
        <v>1864</v>
      </c>
      <c r="D4" s="6"/>
      <c r="E4" s="11"/>
      <c r="F4" s="9"/>
      <c r="G4" s="11"/>
      <c r="H4" s="6"/>
      <c r="I4" s="11"/>
      <c r="J4" s="6"/>
      <c r="K4" s="11"/>
      <c r="L4" s="6"/>
      <c r="M4" s="11"/>
      <c r="N4" s="6"/>
    </row>
    <row r="5" spans="1:16" s="4" customFormat="1" ht="15.75" x14ac:dyDescent="0.2">
      <c r="A5" s="1" t="s">
        <v>183</v>
      </c>
      <c r="B5" s="12" t="s">
        <v>1865</v>
      </c>
      <c r="C5" s="12" t="s">
        <v>42</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1866</v>
      </c>
      <c r="B11" s="36"/>
    </row>
    <row r="12" spans="1:16" s="40" customFormat="1" x14ac:dyDescent="0.2">
      <c r="A12" s="41" t="s">
        <v>1867</v>
      </c>
      <c r="B12" s="39"/>
      <c r="C12" s="76">
        <v>91788</v>
      </c>
      <c r="E12" s="76">
        <v>98880</v>
      </c>
      <c r="G12" s="76">
        <v>92000</v>
      </c>
      <c r="I12" s="76">
        <v>98000</v>
      </c>
      <c r="K12" s="76">
        <v>100000</v>
      </c>
      <c r="M12" s="78"/>
    </row>
    <row r="13" spans="1:16" s="40" customFormat="1" x14ac:dyDescent="0.2">
      <c r="A13" s="90" t="s">
        <v>1868</v>
      </c>
      <c r="B13" s="39"/>
      <c r="C13" s="76">
        <v>8808</v>
      </c>
      <c r="E13" s="76">
        <v>9775</v>
      </c>
      <c r="G13" s="76">
        <v>9000</v>
      </c>
      <c r="I13" s="76">
        <v>9400</v>
      </c>
      <c r="K13" s="76">
        <v>9800</v>
      </c>
      <c r="M13" s="78"/>
    </row>
    <row r="14" spans="1:16" s="40" customFormat="1" x14ac:dyDescent="0.2">
      <c r="A14" s="90" t="s">
        <v>1869</v>
      </c>
      <c r="B14" s="39"/>
      <c r="C14" s="687">
        <v>67</v>
      </c>
      <c r="E14" s="97">
        <v>62</v>
      </c>
      <c r="G14" s="97">
        <v>75</v>
      </c>
      <c r="I14" s="97">
        <v>70</v>
      </c>
      <c r="K14" s="97">
        <v>75</v>
      </c>
      <c r="M14" s="202"/>
    </row>
    <row r="15" spans="1:16" s="40" customFormat="1" x14ac:dyDescent="0.2">
      <c r="A15" s="90" t="s">
        <v>1870</v>
      </c>
      <c r="B15" s="39"/>
      <c r="C15" s="76">
        <v>2</v>
      </c>
      <c r="E15" s="76">
        <v>2</v>
      </c>
      <c r="G15" s="76">
        <v>2</v>
      </c>
      <c r="I15" s="76">
        <v>2</v>
      </c>
      <c r="K15" s="76">
        <v>2</v>
      </c>
      <c r="M15" s="78"/>
    </row>
    <row r="16" spans="1:16" s="40" customFormat="1" x14ac:dyDescent="0.2">
      <c r="A16" s="90" t="s">
        <v>1871</v>
      </c>
      <c r="B16" s="39"/>
      <c r="C16" s="76">
        <v>29</v>
      </c>
      <c r="E16" s="76">
        <v>30</v>
      </c>
      <c r="G16" s="76">
        <v>25</v>
      </c>
      <c r="I16" s="76">
        <v>26</v>
      </c>
      <c r="K16" s="76">
        <v>25</v>
      </c>
      <c r="M16" s="78"/>
    </row>
    <row r="17" spans="1:13" s="40" customFormat="1" x14ac:dyDescent="0.2">
      <c r="A17" s="90" t="s">
        <v>1872</v>
      </c>
      <c r="B17" s="39"/>
      <c r="C17" s="76">
        <v>187</v>
      </c>
      <c r="E17" s="76">
        <v>175</v>
      </c>
      <c r="G17" s="76">
        <v>180</v>
      </c>
      <c r="I17" s="76">
        <v>170</v>
      </c>
      <c r="K17" s="76">
        <v>165</v>
      </c>
      <c r="M17" s="78"/>
    </row>
    <row r="18" spans="1:13" s="40" customFormat="1" x14ac:dyDescent="0.2">
      <c r="A18" s="90" t="s">
        <v>1873</v>
      </c>
      <c r="B18" s="39"/>
      <c r="C18" s="76">
        <v>0</v>
      </c>
      <c r="E18" s="76">
        <v>0</v>
      </c>
      <c r="G18" s="76">
        <v>1</v>
      </c>
      <c r="I18" s="76">
        <v>1</v>
      </c>
      <c r="K18" s="76">
        <v>1</v>
      </c>
      <c r="M18" s="78"/>
    </row>
    <row r="19" spans="1:13" s="40" customFormat="1" x14ac:dyDescent="0.2">
      <c r="A19" s="90" t="s">
        <v>1874</v>
      </c>
      <c r="B19" s="39"/>
      <c r="C19" s="76">
        <v>20964</v>
      </c>
      <c r="E19" s="76">
        <v>17052</v>
      </c>
      <c r="G19" s="1107">
        <v>23000</v>
      </c>
      <c r="I19" s="112">
        <v>20000</v>
      </c>
      <c r="K19" s="76">
        <v>22000</v>
      </c>
      <c r="M19" s="78"/>
    </row>
    <row r="20" spans="1:13" s="40" customFormat="1" x14ac:dyDescent="0.2">
      <c r="A20" s="90" t="s">
        <v>1875</v>
      </c>
      <c r="B20" s="39"/>
      <c r="C20" s="76">
        <v>18540</v>
      </c>
      <c r="E20" s="76">
        <v>17580</v>
      </c>
      <c r="G20" s="76">
        <v>20000</v>
      </c>
      <c r="I20" s="76">
        <v>19000</v>
      </c>
      <c r="K20" s="76">
        <v>20000</v>
      </c>
      <c r="M20" s="78"/>
    </row>
    <row r="21" spans="1:13" s="40" customFormat="1" x14ac:dyDescent="0.2">
      <c r="A21" s="90" t="s">
        <v>1876</v>
      </c>
      <c r="B21" s="39"/>
      <c r="C21" s="76">
        <v>165</v>
      </c>
      <c r="E21" s="76">
        <v>163</v>
      </c>
      <c r="G21" s="76">
        <v>160</v>
      </c>
      <c r="I21" s="76">
        <v>160</v>
      </c>
      <c r="K21" s="76">
        <v>160</v>
      </c>
      <c r="M21" s="78"/>
    </row>
    <row r="22" spans="1:13" s="40" customFormat="1" x14ac:dyDescent="0.2">
      <c r="A22" s="90" t="s">
        <v>1877</v>
      </c>
      <c r="B22" s="39"/>
      <c r="C22" s="63"/>
      <c r="E22" s="63"/>
      <c r="G22" s="63"/>
      <c r="I22" s="63"/>
      <c r="K22" s="63"/>
      <c r="M22" s="78"/>
    </row>
    <row r="23" spans="1:13" s="40" customFormat="1" x14ac:dyDescent="0.2">
      <c r="A23" s="131" t="s">
        <v>1878</v>
      </c>
      <c r="B23" s="39"/>
      <c r="C23" s="76">
        <v>871</v>
      </c>
      <c r="E23" s="76">
        <v>881</v>
      </c>
      <c r="G23" s="76">
        <v>1000</v>
      </c>
      <c r="I23" s="76">
        <v>890</v>
      </c>
      <c r="K23" s="76">
        <v>900</v>
      </c>
      <c r="M23" s="78"/>
    </row>
    <row r="24" spans="1:13" s="40" customFormat="1" x14ac:dyDescent="0.2">
      <c r="A24" s="131" t="s">
        <v>1879</v>
      </c>
      <c r="B24" s="39"/>
      <c r="C24" s="76">
        <v>675</v>
      </c>
      <c r="E24" s="76">
        <v>864</v>
      </c>
      <c r="G24" s="76">
        <v>700</v>
      </c>
      <c r="I24" s="76">
        <v>700</v>
      </c>
      <c r="K24" s="76">
        <v>700</v>
      </c>
      <c r="M24" s="78"/>
    </row>
    <row r="25" spans="1:13" s="40" customFormat="1" x14ac:dyDescent="0.2">
      <c r="A25" s="131" t="s">
        <v>1880</v>
      </c>
      <c r="B25" s="39"/>
      <c r="C25" s="76">
        <v>488</v>
      </c>
      <c r="E25" s="76">
        <v>236</v>
      </c>
      <c r="G25" s="76">
        <v>350</v>
      </c>
      <c r="I25" s="76">
        <v>350</v>
      </c>
      <c r="K25" s="76">
        <v>350</v>
      </c>
      <c r="M25" s="78"/>
    </row>
    <row r="26" spans="1:13" s="40" customFormat="1" x14ac:dyDescent="0.2">
      <c r="A26" s="131" t="s">
        <v>1881</v>
      </c>
      <c r="B26" s="39"/>
      <c r="C26" s="76">
        <v>237</v>
      </c>
      <c r="E26" s="76">
        <v>191</v>
      </c>
      <c r="G26" s="76">
        <v>300</v>
      </c>
      <c r="I26" s="76">
        <v>250</v>
      </c>
      <c r="K26" s="76">
        <v>250</v>
      </c>
      <c r="M26" s="78"/>
    </row>
    <row r="27" spans="1:13" s="37" customFormat="1" x14ac:dyDescent="0.2">
      <c r="A27" s="35" t="s">
        <v>1882</v>
      </c>
      <c r="B27" s="36"/>
      <c r="C27" s="87"/>
      <c r="E27" s="87"/>
      <c r="K27" s="87"/>
      <c r="M27" s="78"/>
    </row>
    <row r="28" spans="1:13" s="40" customFormat="1" x14ac:dyDescent="0.2">
      <c r="A28" s="41" t="s">
        <v>1883</v>
      </c>
      <c r="B28" s="39"/>
      <c r="C28" s="63"/>
      <c r="E28" s="63"/>
      <c r="K28" s="63"/>
      <c r="M28" s="78"/>
    </row>
    <row r="29" spans="1:13" s="40" customFormat="1" x14ac:dyDescent="0.2">
      <c r="A29" s="90" t="s">
        <v>1884</v>
      </c>
      <c r="B29" s="39"/>
      <c r="C29" s="76">
        <v>215000</v>
      </c>
      <c r="E29" s="76">
        <v>215000</v>
      </c>
      <c r="G29" s="76">
        <v>215000</v>
      </c>
      <c r="I29" s="76">
        <v>215000</v>
      </c>
      <c r="K29" s="76">
        <v>215000</v>
      </c>
      <c r="M29" s="78"/>
    </row>
    <row r="30" spans="1:13" s="40" customFormat="1" x14ac:dyDescent="0.2">
      <c r="A30" s="131" t="s">
        <v>1885</v>
      </c>
      <c r="B30" s="39"/>
      <c r="C30" s="76">
        <v>3116</v>
      </c>
      <c r="E30" s="76">
        <v>3111</v>
      </c>
      <c r="G30" s="76">
        <v>3092</v>
      </c>
      <c r="I30" s="76">
        <v>3092</v>
      </c>
      <c r="K30" s="76">
        <v>3150</v>
      </c>
      <c r="M30" s="78"/>
    </row>
    <row r="31" spans="1:13" s="40" customFormat="1" x14ac:dyDescent="0.2">
      <c r="A31" s="131" t="s">
        <v>1886</v>
      </c>
      <c r="B31" s="39"/>
      <c r="C31" s="76">
        <f>62703+C30</f>
        <v>65819</v>
      </c>
      <c r="E31" s="76">
        <f>C31+E30</f>
        <v>68930</v>
      </c>
      <c r="G31" s="76">
        <f>E31+G30</f>
        <v>72022</v>
      </c>
      <c r="I31" s="76">
        <f>E31+I30</f>
        <v>72022</v>
      </c>
      <c r="K31" s="76">
        <f>I31+K30</f>
        <v>75172</v>
      </c>
      <c r="M31" s="78"/>
    </row>
    <row r="32" spans="1:13" s="40" customFormat="1" x14ac:dyDescent="0.2">
      <c r="A32" s="131"/>
      <c r="B32" s="39"/>
      <c r="C32" s="63"/>
    </row>
    <row r="33" spans="1:16" s="37" customFormat="1" x14ac:dyDescent="0.2">
      <c r="A33" s="35" t="s">
        <v>194</v>
      </c>
      <c r="B33" s="36"/>
      <c r="C33" s="87"/>
    </row>
    <row r="34" spans="1:16" s="37" customFormat="1" x14ac:dyDescent="0.2">
      <c r="A34" s="35" t="s">
        <v>195</v>
      </c>
      <c r="B34" s="36"/>
      <c r="C34" s="87"/>
    </row>
    <row r="35" spans="1:16" s="40" customFormat="1" x14ac:dyDescent="0.2">
      <c r="A35" s="38" t="s">
        <v>196</v>
      </c>
      <c r="B35" s="39"/>
      <c r="C35" s="63"/>
    </row>
    <row r="36" spans="1:16" s="40" customFormat="1" x14ac:dyDescent="0.2">
      <c r="A36" s="41" t="s">
        <v>197</v>
      </c>
      <c r="B36" s="39"/>
      <c r="C36" s="76">
        <v>111</v>
      </c>
      <c r="E36" s="76">
        <v>114</v>
      </c>
      <c r="G36" s="76">
        <v>114</v>
      </c>
      <c r="I36" s="76">
        <v>144</v>
      </c>
      <c r="K36" s="76">
        <v>149</v>
      </c>
      <c r="M36" s="78"/>
    </row>
    <row r="37" spans="1:16" s="40" customFormat="1" x14ac:dyDescent="0.2">
      <c r="A37" s="41" t="s">
        <v>261</v>
      </c>
      <c r="B37" s="39"/>
      <c r="C37" s="76">
        <v>4</v>
      </c>
      <c r="E37" s="76">
        <v>4</v>
      </c>
      <c r="G37" s="76">
        <v>4</v>
      </c>
      <c r="I37" s="76">
        <v>4</v>
      </c>
      <c r="K37" s="76">
        <v>4</v>
      </c>
      <c r="M37" s="78"/>
    </row>
    <row r="38" spans="1:16" s="40" customFormat="1" x14ac:dyDescent="0.2">
      <c r="A38" s="41" t="s">
        <v>198</v>
      </c>
      <c r="B38" s="39"/>
      <c r="C38" s="76">
        <f>C36+C37</f>
        <v>115</v>
      </c>
      <c r="E38" s="76">
        <f>SUM(E36:E37)</f>
        <v>118</v>
      </c>
      <c r="G38" s="76">
        <f>G36+G37</f>
        <v>118</v>
      </c>
      <c r="I38" s="76">
        <f>I36+I37</f>
        <v>148</v>
      </c>
      <c r="K38" s="76">
        <f>K36+K37</f>
        <v>153</v>
      </c>
      <c r="M38" s="78"/>
    </row>
    <row r="39" spans="1:16" s="40" customFormat="1" x14ac:dyDescent="0.2">
      <c r="A39" s="38" t="s">
        <v>199</v>
      </c>
      <c r="B39" s="39"/>
      <c r="C39" s="63"/>
      <c r="M39" s="1426"/>
    </row>
    <row r="40" spans="1:16" s="40" customFormat="1" x14ac:dyDescent="0.2">
      <c r="A40" s="41" t="s">
        <v>1866</v>
      </c>
      <c r="B40" s="39"/>
      <c r="C40" s="76">
        <v>43</v>
      </c>
      <c r="E40" s="76">
        <v>47</v>
      </c>
      <c r="G40" s="76">
        <v>47</v>
      </c>
      <c r="I40" s="76">
        <f>4+2+40</f>
        <v>46</v>
      </c>
      <c r="K40" s="76">
        <v>46</v>
      </c>
      <c r="M40" s="78"/>
    </row>
    <row r="41" spans="1:16" s="40" customFormat="1" x14ac:dyDescent="0.2">
      <c r="A41" s="41" t="s">
        <v>1887</v>
      </c>
      <c r="B41" s="39"/>
      <c r="C41" s="76">
        <v>41</v>
      </c>
      <c r="E41" s="76">
        <v>42</v>
      </c>
      <c r="G41" s="76">
        <v>41</v>
      </c>
      <c r="I41" s="76">
        <f>48+23</f>
        <v>71</v>
      </c>
      <c r="K41" s="76">
        <v>74</v>
      </c>
      <c r="M41" s="78"/>
    </row>
    <row r="42" spans="1:16" s="40" customFormat="1" x14ac:dyDescent="0.2">
      <c r="A42" s="41" t="s">
        <v>1882</v>
      </c>
      <c r="B42" s="39"/>
      <c r="C42" s="76">
        <v>31</v>
      </c>
      <c r="E42" s="76">
        <v>29</v>
      </c>
      <c r="G42" s="76">
        <v>30</v>
      </c>
      <c r="I42" s="76">
        <f>4+27</f>
        <v>31</v>
      </c>
      <c r="K42" s="76">
        <v>33</v>
      </c>
      <c r="M42" s="78"/>
    </row>
    <row r="43" spans="1:16" s="40" customFormat="1" x14ac:dyDescent="0.2">
      <c r="A43" s="41" t="s">
        <v>198</v>
      </c>
      <c r="B43" s="39"/>
      <c r="C43" s="76">
        <f>SUM(C40:C42)</f>
        <v>115</v>
      </c>
      <c r="E43" s="76">
        <f>SUM(E40:E42)</f>
        <v>118</v>
      </c>
      <c r="G43" s="76">
        <f>SUM(G40:G42)</f>
        <v>118</v>
      </c>
      <c r="I43" s="76">
        <f>SUM(I40:I42)</f>
        <v>148</v>
      </c>
      <c r="K43" s="76">
        <f>SUM(K40:K42)</f>
        <v>153</v>
      </c>
      <c r="M43" s="78"/>
    </row>
    <row r="44" spans="1:16" s="37" customFormat="1" x14ac:dyDescent="0.2">
      <c r="A44" s="35"/>
      <c r="B44" s="36"/>
    </row>
    <row r="45" spans="1:16" s="48" customFormat="1" x14ac:dyDescent="0.2">
      <c r="A45" s="46"/>
      <c r="B45" s="47"/>
      <c r="C45" s="1109"/>
    </row>
    <row r="46" spans="1:16" s="48" customFormat="1" x14ac:dyDescent="0.2">
      <c r="A46" s="49" t="s">
        <v>200</v>
      </c>
      <c r="B46" s="50"/>
      <c r="C46" s="51"/>
      <c r="D46" s="52"/>
      <c r="E46" s="53"/>
      <c r="F46" s="52"/>
      <c r="G46" s="53"/>
      <c r="H46" s="52"/>
      <c r="I46" s="53"/>
      <c r="J46" s="52"/>
      <c r="K46" s="53"/>
      <c r="L46" s="52"/>
      <c r="M46" s="51"/>
      <c r="N46" s="52"/>
    </row>
    <row r="47" spans="1:16" s="48" customFormat="1" ht="27" customHeight="1" x14ac:dyDescent="0.2">
      <c r="A47" s="1738" t="s">
        <v>524</v>
      </c>
      <c r="B47" s="1736"/>
      <c r="C47" s="1737"/>
      <c r="D47" s="1736"/>
      <c r="E47" s="1737"/>
      <c r="F47" s="1736"/>
      <c r="G47" s="1737"/>
      <c r="H47" s="1736"/>
      <c r="I47" s="1737"/>
      <c r="J47" s="1736"/>
      <c r="K47" s="1737"/>
      <c r="L47" s="1736"/>
      <c r="M47" s="1737"/>
      <c r="N47" s="1736"/>
    </row>
    <row r="48" spans="1:16" x14ac:dyDescent="0.2">
      <c r="A48" s="1814" t="s">
        <v>1888</v>
      </c>
      <c r="B48" s="1796"/>
      <c r="C48" s="1797"/>
      <c r="D48" s="1796"/>
      <c r="E48" s="1797"/>
      <c r="F48" s="1796"/>
      <c r="G48" s="1797"/>
      <c r="H48" s="1796"/>
      <c r="I48" s="1797"/>
      <c r="J48" s="1796"/>
      <c r="K48" s="1797"/>
      <c r="L48" s="1796"/>
      <c r="M48" s="1797"/>
      <c r="N48" s="1796"/>
      <c r="O48" s="54"/>
      <c r="P48" s="54"/>
    </row>
    <row r="49" spans="1:17" x14ac:dyDescent="0.2">
      <c r="A49" s="55"/>
      <c r="B49" s="54"/>
      <c r="C49" s="56"/>
      <c r="D49" s="54"/>
      <c r="E49" s="56"/>
      <c r="F49" s="54"/>
      <c r="G49" s="56"/>
      <c r="H49" s="54"/>
      <c r="I49" s="56"/>
      <c r="J49" s="54"/>
      <c r="K49" s="56"/>
      <c r="L49" s="54"/>
      <c r="M49" s="56"/>
      <c r="N49" s="54"/>
      <c r="O49" s="54"/>
      <c r="P49" s="54"/>
    </row>
    <row r="50" spans="1:17" x14ac:dyDescent="0.2">
      <c r="A50" s="55"/>
      <c r="B50" s="54"/>
      <c r="C50" s="54"/>
      <c r="D50" s="54"/>
      <c r="E50" s="54"/>
      <c r="F50" s="54"/>
      <c r="G50" s="54"/>
      <c r="H50" s="54"/>
      <c r="I50" s="54"/>
      <c r="J50" s="54"/>
      <c r="K50" s="54"/>
      <c r="L50" s="54"/>
      <c r="M50" s="54"/>
      <c r="N50" s="54"/>
      <c r="O50" s="54"/>
      <c r="P50" s="54"/>
    </row>
    <row r="51" spans="1:17" x14ac:dyDescent="0.2">
      <c r="A51" s="55"/>
      <c r="B51" s="54"/>
      <c r="C51" s="54"/>
      <c r="D51" s="54"/>
      <c r="E51" s="54"/>
      <c r="F51" s="54"/>
      <c r="G51" s="54"/>
      <c r="H51" s="54"/>
      <c r="I51" s="54"/>
      <c r="J51" s="54"/>
      <c r="K51" s="54"/>
      <c r="L51" s="54"/>
      <c r="M51" s="54"/>
      <c r="N51" s="54"/>
      <c r="O51" s="54"/>
      <c r="P51" s="54"/>
    </row>
    <row r="52" spans="1:17" x14ac:dyDescent="0.2">
      <c r="A52" s="55"/>
      <c r="B52" s="54"/>
      <c r="C52" s="54"/>
      <c r="D52" s="54"/>
      <c r="E52" s="54"/>
      <c r="F52" s="54"/>
      <c r="G52" s="54"/>
      <c r="H52" s="54"/>
      <c r="I52" s="54"/>
      <c r="J52" s="54"/>
      <c r="K52" s="54"/>
      <c r="L52" s="54"/>
      <c r="M52" s="54"/>
      <c r="N52" s="54"/>
      <c r="O52" s="54"/>
      <c r="P52" s="54"/>
      <c r="Q52" s="57"/>
    </row>
    <row r="53" spans="1:17" x14ac:dyDescent="0.2">
      <c r="B53" s="25"/>
      <c r="C53" s="25"/>
      <c r="D53" s="25"/>
      <c r="E53" s="58"/>
      <c r="F53" s="58"/>
      <c r="G53" s="58"/>
      <c r="H53" s="58"/>
    </row>
    <row r="54" spans="1:17" x14ac:dyDescent="0.2">
      <c r="B54" s="25"/>
      <c r="C54" s="25"/>
      <c r="D54" s="25"/>
      <c r="E54" s="58"/>
      <c r="F54" s="58"/>
      <c r="G54" s="58"/>
      <c r="H54" s="58"/>
    </row>
    <row r="55" spans="1:17" x14ac:dyDescent="0.2">
      <c r="B55" s="25"/>
      <c r="C55" s="25"/>
      <c r="D55" s="25"/>
      <c r="E55" s="58"/>
      <c r="F55" s="58"/>
      <c r="G55" s="58"/>
      <c r="H55" s="58"/>
    </row>
    <row r="56" spans="1:17" x14ac:dyDescent="0.2">
      <c r="B56" s="25"/>
      <c r="C56" s="25"/>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row>
    <row r="83" spans="2:8" x14ac:dyDescent="0.2">
      <c r="B83" s="25"/>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sheetData>
  <mergeCells count="3">
    <mergeCell ref="A47:N47"/>
    <mergeCell ref="A48:N48"/>
    <mergeCell ref="K2:K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8">
    <pageSetUpPr fitToPage="1"/>
  </sheetPr>
  <dimension ref="A1:Q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1843</v>
      </c>
      <c r="C3" s="10" t="s">
        <v>1844</v>
      </c>
      <c r="D3" s="6"/>
      <c r="E3" s="11"/>
      <c r="F3" s="9"/>
      <c r="G3" s="11"/>
      <c r="H3" s="6"/>
      <c r="I3" s="11"/>
      <c r="J3" s="6"/>
      <c r="K3" s="1734"/>
      <c r="L3" s="6"/>
      <c r="M3" s="11"/>
      <c r="N3" s="6"/>
    </row>
    <row r="4" spans="1:16" s="4" customFormat="1" ht="15.75" x14ac:dyDescent="0.25">
      <c r="A4" s="1" t="s">
        <v>180</v>
      </c>
      <c r="B4" s="10" t="s">
        <v>1863</v>
      </c>
      <c r="C4" s="10" t="s">
        <v>1864</v>
      </c>
      <c r="D4" s="6"/>
      <c r="E4" s="11"/>
      <c r="F4" s="9"/>
      <c r="G4" s="11"/>
      <c r="H4" s="6"/>
      <c r="I4" s="11"/>
      <c r="J4" s="6"/>
      <c r="K4" s="11"/>
      <c r="L4" s="6"/>
      <c r="M4" s="11"/>
      <c r="N4" s="6"/>
    </row>
    <row r="5" spans="1:16" s="4" customFormat="1" ht="15.75" x14ac:dyDescent="0.2">
      <c r="A5" s="1" t="s">
        <v>183</v>
      </c>
      <c r="B5" s="12" t="s">
        <v>1889</v>
      </c>
      <c r="C5" s="12" t="s">
        <v>43</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517</v>
      </c>
      <c r="B10" s="36"/>
    </row>
    <row r="11" spans="1:16" s="37" customFormat="1" x14ac:dyDescent="0.2">
      <c r="A11" s="35" t="s">
        <v>1890</v>
      </c>
      <c r="B11" s="36"/>
    </row>
    <row r="12" spans="1:16" s="40" customFormat="1" x14ac:dyDescent="0.2">
      <c r="A12" s="41" t="s">
        <v>1891</v>
      </c>
      <c r="B12" s="39"/>
      <c r="C12" s="78">
        <v>312</v>
      </c>
      <c r="D12" s="78"/>
      <c r="E12" s="78">
        <v>312</v>
      </c>
      <c r="F12" s="78"/>
      <c r="G12" s="78">
        <v>312</v>
      </c>
      <c r="H12" s="78"/>
      <c r="I12" s="78">
        <v>312</v>
      </c>
      <c r="J12" s="78"/>
      <c r="K12" s="78">
        <v>312</v>
      </c>
      <c r="M12" s="78"/>
    </row>
    <row r="13" spans="1:16" s="40" customFormat="1" x14ac:dyDescent="0.2">
      <c r="A13" s="90" t="s">
        <v>354</v>
      </c>
      <c r="B13" s="39"/>
      <c r="C13" s="78">
        <v>300</v>
      </c>
      <c r="D13" s="78"/>
      <c r="E13" s="78">
        <v>305</v>
      </c>
      <c r="F13" s="78"/>
      <c r="G13" s="1110">
        <v>305</v>
      </c>
      <c r="H13" s="78"/>
      <c r="I13" s="159">
        <v>300</v>
      </c>
      <c r="J13" s="78"/>
      <c r="K13" s="78">
        <v>300</v>
      </c>
      <c r="M13" s="78"/>
    </row>
    <row r="14" spans="1:16" s="40" customFormat="1" x14ac:dyDescent="0.2">
      <c r="A14" s="90" t="s">
        <v>1892</v>
      </c>
      <c r="B14" s="39"/>
      <c r="C14" s="65" t="str">
        <f>TEXT(ROUND(C13/C22,1),"0.0")&amp;"/1"</f>
        <v>0.8/1</v>
      </c>
      <c r="D14" s="65"/>
      <c r="E14" s="65" t="str">
        <f>TEXT(ROUND(305/378,1),"0.0")&amp;"/1"</f>
        <v>0.8/1</v>
      </c>
      <c r="F14" s="63"/>
      <c r="G14" s="65" t="str">
        <f>TEXT(ROUND(G13/G22,1),"0.0")&amp;"/1"</f>
        <v>0.8/1</v>
      </c>
      <c r="H14" s="63"/>
      <c r="I14" s="65" t="str">
        <f>TEXT(ROUND(I13/I22,1),"0.0")&amp;"/1"</f>
        <v>0.8/1</v>
      </c>
      <c r="J14" s="63"/>
      <c r="K14" s="65" t="s">
        <v>1893</v>
      </c>
      <c r="M14" s="65"/>
    </row>
    <row r="15" spans="1:16" s="40" customFormat="1" x14ac:dyDescent="0.2">
      <c r="A15" s="90" t="s">
        <v>533</v>
      </c>
      <c r="B15" s="39"/>
      <c r="C15" s="1111">
        <f>29918000/C13</f>
        <v>99726.666666666672</v>
      </c>
      <c r="D15" s="78"/>
      <c r="E15" s="78">
        <f>30153000/E13</f>
        <v>98862.295081967211</v>
      </c>
      <c r="F15" s="78"/>
      <c r="G15" s="78">
        <f>29847000/G13</f>
        <v>97859.016393442624</v>
      </c>
      <c r="H15" s="78"/>
      <c r="I15" s="78">
        <f>30380000/I13</f>
        <v>101266.66666666667</v>
      </c>
      <c r="J15" s="78"/>
      <c r="K15" s="78">
        <f>30047000/K13</f>
        <v>100156.66666666667</v>
      </c>
      <c r="M15" s="78"/>
    </row>
    <row r="16" spans="1:16" s="40" customFormat="1" x14ac:dyDescent="0.2">
      <c r="A16" s="90" t="s">
        <v>534</v>
      </c>
      <c r="B16" s="39"/>
      <c r="C16" s="417">
        <f>C15/365</f>
        <v>273.22374429223748</v>
      </c>
      <c r="D16" s="74"/>
      <c r="E16" s="417">
        <f>(ROUNDDOWN(E15,0))/365</f>
        <v>270.85479452054796</v>
      </c>
      <c r="F16" s="74"/>
      <c r="G16" s="417">
        <f>G15/365</f>
        <v>268.10689422860992</v>
      </c>
      <c r="H16" s="74"/>
      <c r="I16" s="417">
        <f>I15/365</f>
        <v>277.44292237442926</v>
      </c>
      <c r="J16" s="74"/>
      <c r="K16" s="417">
        <f>K15/365</f>
        <v>274.40182648401827</v>
      </c>
      <c r="M16" s="696"/>
    </row>
    <row r="17" spans="1:17" s="40" customFormat="1" x14ac:dyDescent="0.2">
      <c r="A17" s="90"/>
      <c r="B17" s="39"/>
    </row>
    <row r="18" spans="1:17" s="37" customFormat="1" x14ac:dyDescent="0.2">
      <c r="A18" s="35" t="s">
        <v>194</v>
      </c>
      <c r="B18" s="36"/>
    </row>
    <row r="19" spans="1:17" s="37" customFormat="1" x14ac:dyDescent="0.2">
      <c r="A19" s="35" t="s">
        <v>195</v>
      </c>
      <c r="B19" s="36"/>
    </row>
    <row r="20" spans="1:17" s="40" customFormat="1" x14ac:dyDescent="0.2">
      <c r="A20" s="38" t="s">
        <v>196</v>
      </c>
      <c r="B20" s="39"/>
    </row>
    <row r="21" spans="1:17" s="40" customFormat="1" x14ac:dyDescent="0.2">
      <c r="A21" s="41" t="s">
        <v>197</v>
      </c>
      <c r="B21" s="39"/>
      <c r="C21" s="71">
        <v>380</v>
      </c>
      <c r="D21" s="71"/>
      <c r="E21" s="71">
        <v>372</v>
      </c>
      <c r="F21" s="71"/>
      <c r="G21" s="71">
        <v>364</v>
      </c>
      <c r="H21" s="71"/>
      <c r="I21" s="71">
        <v>363</v>
      </c>
      <c r="J21" s="71"/>
      <c r="K21" s="71">
        <v>363</v>
      </c>
      <c r="M21" s="1112"/>
    </row>
    <row r="22" spans="1:17" s="40" customFormat="1" x14ac:dyDescent="0.2">
      <c r="A22" s="41" t="s">
        <v>198</v>
      </c>
      <c r="B22" s="39"/>
      <c r="C22" s="71">
        <v>380</v>
      </c>
      <c r="D22" s="71"/>
      <c r="E22" s="71">
        <v>372</v>
      </c>
      <c r="F22" s="71"/>
      <c r="G22" s="71">
        <v>364</v>
      </c>
      <c r="H22" s="71"/>
      <c r="I22" s="71">
        <v>363</v>
      </c>
      <c r="J22" s="71"/>
      <c r="K22" s="71">
        <v>363</v>
      </c>
      <c r="M22" s="1112"/>
    </row>
    <row r="23" spans="1:17" s="40" customFormat="1" x14ac:dyDescent="0.2">
      <c r="A23" s="38" t="s">
        <v>199</v>
      </c>
      <c r="B23" s="39"/>
      <c r="C23" s="71"/>
      <c r="D23" s="71"/>
      <c r="E23" s="71"/>
      <c r="F23" s="71"/>
      <c r="G23" s="71"/>
      <c r="H23" s="71"/>
      <c r="I23" s="71"/>
      <c r="J23" s="71"/>
      <c r="K23" s="63"/>
      <c r="M23" s="64"/>
    </row>
    <row r="24" spans="1:17" s="40" customFormat="1" x14ac:dyDescent="0.2">
      <c r="A24" s="41" t="s">
        <v>1890</v>
      </c>
      <c r="B24" s="39"/>
      <c r="C24" s="71">
        <v>303</v>
      </c>
      <c r="D24" s="71"/>
      <c r="E24" s="71">
        <v>295</v>
      </c>
      <c r="F24" s="71"/>
      <c r="G24" s="71">
        <v>290</v>
      </c>
      <c r="H24" s="71"/>
      <c r="I24" s="71">
        <v>284</v>
      </c>
      <c r="J24" s="71"/>
      <c r="K24" s="71">
        <v>283</v>
      </c>
      <c r="M24" s="1112"/>
    </row>
    <row r="25" spans="1:17" s="40" customFormat="1" x14ac:dyDescent="0.2">
      <c r="A25" s="41" t="s">
        <v>263</v>
      </c>
      <c r="B25" s="39"/>
      <c r="C25" s="71">
        <v>77</v>
      </c>
      <c r="D25" s="71"/>
      <c r="E25" s="71">
        <v>77</v>
      </c>
      <c r="F25" s="71"/>
      <c r="G25" s="71">
        <v>74</v>
      </c>
      <c r="H25" s="71"/>
      <c r="I25" s="71">
        <v>79</v>
      </c>
      <c r="J25" s="71"/>
      <c r="K25" s="71">
        <v>80</v>
      </c>
      <c r="M25" s="1112"/>
    </row>
    <row r="26" spans="1:17" s="40" customFormat="1" x14ac:dyDescent="0.2">
      <c r="A26" s="41" t="s">
        <v>198</v>
      </c>
      <c r="B26" s="39"/>
      <c r="C26" s="71">
        <f>SUM(C24:C25)</f>
        <v>380</v>
      </c>
      <c r="D26" s="71"/>
      <c r="E26" s="71">
        <f>SUM(E24:E25)</f>
        <v>372</v>
      </c>
      <c r="F26" s="71"/>
      <c r="G26" s="71">
        <f>SUM(G24:G25)</f>
        <v>364</v>
      </c>
      <c r="H26" s="71"/>
      <c r="I26" s="71">
        <f>SUM(I24:I25)</f>
        <v>363</v>
      </c>
      <c r="J26" s="71"/>
      <c r="K26" s="71">
        <f>SUM(K24:K25)</f>
        <v>363</v>
      </c>
      <c r="M26" s="1112"/>
    </row>
    <row r="27" spans="1:17" s="48" customFormat="1" x14ac:dyDescent="0.2">
      <c r="A27" s="46"/>
      <c r="B27" s="47"/>
    </row>
    <row r="28" spans="1:17" s="48" customFormat="1" x14ac:dyDescent="0.2">
      <c r="A28" s="49" t="s">
        <v>200</v>
      </c>
      <c r="B28" s="50"/>
      <c r="C28" s="51"/>
      <c r="D28" s="52"/>
      <c r="E28" s="53"/>
      <c r="F28" s="52"/>
      <c r="G28" s="53"/>
      <c r="H28" s="52"/>
      <c r="I28" s="53"/>
      <c r="J28" s="52"/>
      <c r="K28" s="53"/>
      <c r="L28" s="52"/>
      <c r="M28" s="51"/>
      <c r="N28" s="52"/>
    </row>
    <row r="29" spans="1:17" ht="27.75" customHeight="1" x14ac:dyDescent="0.2">
      <c r="A29" s="1738" t="s">
        <v>524</v>
      </c>
      <c r="B29" s="1736"/>
      <c r="C29" s="1737"/>
      <c r="D29" s="1736"/>
      <c r="E29" s="1737"/>
      <c r="F29" s="1736"/>
      <c r="G29" s="1737"/>
      <c r="H29" s="1736"/>
      <c r="I29" s="1737"/>
      <c r="J29" s="1736"/>
      <c r="K29" s="1737"/>
      <c r="L29" s="1736"/>
      <c r="M29" s="1737"/>
      <c r="N29" s="1736"/>
      <c r="O29" s="54"/>
      <c r="P29" s="54"/>
      <c r="Q29" s="951"/>
    </row>
    <row r="30" spans="1:17" ht="27.75" customHeight="1" x14ac:dyDescent="0.2">
      <c r="A30" s="1735"/>
      <c r="B30" s="1736"/>
      <c r="C30" s="1737"/>
      <c r="D30" s="1736"/>
      <c r="E30" s="1737"/>
      <c r="F30" s="1736"/>
      <c r="G30" s="1737"/>
      <c r="H30" s="1736"/>
      <c r="I30" s="1737"/>
      <c r="J30" s="1736"/>
      <c r="K30" s="1737"/>
      <c r="L30" s="1736"/>
      <c r="M30" s="1737"/>
      <c r="N30" s="1736"/>
      <c r="O30" s="54"/>
      <c r="P30" s="54"/>
    </row>
    <row r="31" spans="1:17" ht="27.75" customHeight="1" x14ac:dyDescent="0.2">
      <c r="A31" s="1735"/>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ht="27.75" customHeight="1" x14ac:dyDescent="0.2">
      <c r="A37" s="1735"/>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x14ac:dyDescent="0.2">
      <c r="A39" s="55"/>
      <c r="B39" s="54"/>
      <c r="C39" s="56"/>
      <c r="D39" s="54"/>
      <c r="E39" s="56"/>
      <c r="F39" s="54"/>
      <c r="G39" s="56"/>
      <c r="H39" s="54"/>
      <c r="I39" s="56"/>
      <c r="J39" s="54"/>
      <c r="K39" s="56"/>
      <c r="L39" s="54"/>
      <c r="M39" s="56"/>
      <c r="N39" s="54"/>
      <c r="O39" s="54"/>
      <c r="P39" s="54"/>
    </row>
    <row r="40" spans="1:17" x14ac:dyDescent="0.2">
      <c r="A40" s="55"/>
      <c r="B40" s="54"/>
      <c r="C40" s="54"/>
      <c r="D40" s="54"/>
      <c r="E40" s="54"/>
      <c r="F40" s="54"/>
      <c r="G40" s="54"/>
      <c r="H40" s="54"/>
      <c r="I40" s="54"/>
      <c r="J40" s="54"/>
      <c r="K40" s="54"/>
      <c r="L40" s="54"/>
      <c r="M40" s="54"/>
      <c r="N40" s="54"/>
      <c r="O40" s="54"/>
      <c r="P40" s="54"/>
    </row>
    <row r="41" spans="1:17" x14ac:dyDescent="0.2">
      <c r="A41" s="55"/>
      <c r="B41" s="54"/>
      <c r="C41" s="56"/>
      <c r="D41" s="54"/>
      <c r="E41" s="56"/>
      <c r="F41" s="54"/>
      <c r="G41" s="56"/>
      <c r="H41" s="54"/>
      <c r="I41" s="56"/>
      <c r="J41" s="54"/>
      <c r="K41" s="56"/>
      <c r="L41" s="54"/>
      <c r="M41" s="56"/>
      <c r="N41" s="54"/>
      <c r="O41" s="54"/>
      <c r="P41" s="54"/>
    </row>
    <row r="42" spans="1:17" x14ac:dyDescent="0.2">
      <c r="A42" s="55"/>
      <c r="B42" s="54"/>
      <c r="C42" s="54"/>
      <c r="D42" s="54"/>
      <c r="E42" s="54"/>
      <c r="F42" s="54"/>
      <c r="G42" s="54"/>
      <c r="H42" s="54"/>
      <c r="I42" s="54"/>
      <c r="J42" s="54"/>
      <c r="K42" s="54"/>
      <c r="L42" s="54"/>
      <c r="M42" s="54"/>
      <c r="N42" s="54"/>
      <c r="O42" s="54"/>
      <c r="P42" s="54"/>
    </row>
    <row r="43" spans="1:17" x14ac:dyDescent="0.2">
      <c r="A43" s="55"/>
      <c r="B43" s="54"/>
      <c r="C43" s="56"/>
      <c r="D43" s="54"/>
      <c r="E43" s="56"/>
      <c r="F43" s="54"/>
      <c r="G43" s="56"/>
      <c r="H43" s="54"/>
      <c r="I43" s="56"/>
      <c r="J43" s="54"/>
      <c r="K43" s="56"/>
      <c r="L43" s="54"/>
      <c r="M43" s="56"/>
      <c r="N43" s="54"/>
      <c r="O43" s="54"/>
      <c r="P43" s="54"/>
    </row>
    <row r="44" spans="1:17" x14ac:dyDescent="0.2">
      <c r="A44" s="55"/>
      <c r="B44" s="54"/>
      <c r="C44" s="54"/>
      <c r="D44" s="54"/>
      <c r="E44" s="54"/>
      <c r="F44" s="54"/>
      <c r="G44" s="54"/>
      <c r="H44" s="54"/>
      <c r="I44" s="54"/>
      <c r="J44" s="54"/>
      <c r="K44" s="54"/>
      <c r="L44" s="54"/>
      <c r="M44" s="54"/>
      <c r="N44" s="54"/>
      <c r="O44" s="54"/>
      <c r="P44" s="54"/>
    </row>
    <row r="45" spans="1:17" x14ac:dyDescent="0.2">
      <c r="A45" s="55"/>
      <c r="B45" s="54"/>
      <c r="C45" s="54"/>
      <c r="D45" s="54"/>
      <c r="E45" s="54"/>
      <c r="F45" s="54"/>
      <c r="G45" s="54"/>
      <c r="H45" s="54"/>
      <c r="I45" s="54"/>
      <c r="J45" s="54"/>
      <c r="K45" s="54"/>
      <c r="L45" s="54"/>
      <c r="M45" s="54"/>
      <c r="N45" s="54"/>
      <c r="O45" s="54"/>
      <c r="P45" s="54"/>
    </row>
    <row r="46" spans="1:17" x14ac:dyDescent="0.2">
      <c r="A46" s="55"/>
      <c r="B46" s="54"/>
      <c r="C46" s="54"/>
      <c r="D46" s="54"/>
      <c r="E46" s="54"/>
      <c r="F46" s="54"/>
      <c r="G46" s="54"/>
      <c r="H46" s="54"/>
      <c r="I46" s="54"/>
      <c r="J46" s="54"/>
      <c r="K46" s="54"/>
      <c r="L46" s="54"/>
      <c r="M46" s="54"/>
      <c r="N46" s="54"/>
      <c r="O46" s="54"/>
      <c r="P46" s="54"/>
      <c r="Q46" s="57"/>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sheetData>
  <mergeCells count="11">
    <mergeCell ref="A35:N35"/>
    <mergeCell ref="A36:N36"/>
    <mergeCell ref="A37:N37"/>
    <mergeCell ref="A38:N38"/>
    <mergeCell ref="K2:K3"/>
    <mergeCell ref="A29:N29"/>
    <mergeCell ref="A30:N30"/>
    <mergeCell ref="A31:N31"/>
    <mergeCell ref="A32:N32"/>
    <mergeCell ref="A33:N33"/>
    <mergeCell ref="A34:N34"/>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9">
    <pageSetUpPr fitToPage="1"/>
  </sheetPr>
  <dimension ref="A1:Q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1843</v>
      </c>
      <c r="C3" s="10" t="s">
        <v>1844</v>
      </c>
      <c r="D3" s="6"/>
      <c r="E3" s="11"/>
      <c r="F3" s="9"/>
      <c r="G3" s="11"/>
      <c r="H3" s="6"/>
      <c r="I3" s="11"/>
      <c r="J3" s="6"/>
      <c r="K3" s="1734"/>
      <c r="L3" s="6"/>
      <c r="M3" s="11"/>
      <c r="N3" s="6"/>
    </row>
    <row r="4" spans="1:16" s="4" customFormat="1" ht="15.75" x14ac:dyDescent="0.25">
      <c r="A4" s="1" t="s">
        <v>180</v>
      </c>
      <c r="B4" s="10" t="s">
        <v>1863</v>
      </c>
      <c r="C4" s="10" t="s">
        <v>1864</v>
      </c>
      <c r="D4" s="6"/>
      <c r="E4" s="11"/>
      <c r="F4" s="9"/>
      <c r="G4" s="11"/>
      <c r="H4" s="6"/>
      <c r="I4" s="11"/>
      <c r="J4" s="6"/>
      <c r="K4" s="11"/>
      <c r="L4" s="6"/>
      <c r="M4" s="11"/>
      <c r="N4" s="6"/>
    </row>
    <row r="5" spans="1:16" s="4" customFormat="1" ht="15.75" x14ac:dyDescent="0.2">
      <c r="A5" s="1" t="s">
        <v>183</v>
      </c>
      <c r="B5" s="12" t="s">
        <v>1894</v>
      </c>
      <c r="C5" s="12" t="s">
        <v>44</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517</v>
      </c>
      <c r="B10" s="36"/>
    </row>
    <row r="11" spans="1:16" s="37" customFormat="1" x14ac:dyDescent="0.2">
      <c r="A11" s="35" t="s">
        <v>1890</v>
      </c>
      <c r="B11" s="36"/>
    </row>
    <row r="12" spans="1:16" s="40" customFormat="1" x14ac:dyDescent="0.2">
      <c r="A12" s="41" t="s">
        <v>1891</v>
      </c>
      <c r="B12" s="39"/>
      <c r="C12" s="76">
        <v>336</v>
      </c>
      <c r="E12" s="76">
        <v>336</v>
      </c>
      <c r="G12" s="76">
        <v>336</v>
      </c>
      <c r="I12" s="76">
        <v>336</v>
      </c>
      <c r="K12" s="76">
        <v>336</v>
      </c>
      <c r="M12" s="78"/>
    </row>
    <row r="13" spans="1:16" s="40" customFormat="1" x14ac:dyDescent="0.2">
      <c r="A13" s="90" t="s">
        <v>354</v>
      </c>
      <c r="B13" s="39"/>
      <c r="C13" s="76">
        <v>319</v>
      </c>
      <c r="E13" s="76">
        <v>320</v>
      </c>
      <c r="G13" s="76">
        <v>323</v>
      </c>
      <c r="I13" s="76">
        <v>320</v>
      </c>
      <c r="K13" s="76">
        <v>320</v>
      </c>
      <c r="M13" s="78"/>
    </row>
    <row r="14" spans="1:16" s="40" customFormat="1" x14ac:dyDescent="0.2">
      <c r="A14" s="90" t="s">
        <v>1892</v>
      </c>
      <c r="B14" s="39"/>
      <c r="C14" s="1113" t="str">
        <f>TEXT(ROUND(C13/C22,1),"0.0")&amp;"/1"</f>
        <v>0.9/1</v>
      </c>
      <c r="D14" s="1113"/>
      <c r="E14" s="1113" t="str">
        <f>TEXT(ROUND(323/339,1),"0.0")&amp;"/1"</f>
        <v>1.0/1</v>
      </c>
      <c r="G14" s="1113" t="str">
        <f>TEXT(ROUND(G13/G22,1),"0.0")&amp;"/1"</f>
        <v>1.0/1</v>
      </c>
      <c r="I14" s="1113" t="str">
        <f>TEXT(ROUND(I13/I22,1),"0.0")&amp;"/1"</f>
        <v>0.9/1</v>
      </c>
      <c r="K14" s="1113" t="str">
        <f>TEXT(ROUND(K13/K22,1),"0.0")&amp;"/1"</f>
        <v>0.9/1</v>
      </c>
      <c r="M14" s="1114"/>
    </row>
    <row r="15" spans="1:16" s="40" customFormat="1" x14ac:dyDescent="0.2">
      <c r="A15" s="90" t="s">
        <v>533</v>
      </c>
      <c r="B15" s="39"/>
      <c r="C15" s="97">
        <f>27883000/C13</f>
        <v>87407.523510971791</v>
      </c>
      <c r="E15" s="97">
        <f>27665000/E13</f>
        <v>86453.125</v>
      </c>
      <c r="G15" s="97">
        <f>29924000/G13</f>
        <v>92643.962848297218</v>
      </c>
      <c r="I15" s="97">
        <f>29507000/I13</f>
        <v>92209.375</v>
      </c>
      <c r="K15" s="97">
        <f>28704000/K13</f>
        <v>89700</v>
      </c>
      <c r="M15" s="202"/>
    </row>
    <row r="16" spans="1:16" s="40" customFormat="1" x14ac:dyDescent="0.2">
      <c r="A16" s="90" t="s">
        <v>534</v>
      </c>
      <c r="B16" s="39"/>
      <c r="C16" s="353">
        <f>C15/365</f>
        <v>239.47266715334737</v>
      </c>
      <c r="E16" s="353">
        <f>E15/365</f>
        <v>236.85787671232876</v>
      </c>
      <c r="G16" s="353">
        <f>G15/365</f>
        <v>253.81907629670471</v>
      </c>
      <c r="I16" s="353">
        <f>I15/365</f>
        <v>252.62842465753425</v>
      </c>
      <c r="K16" s="353">
        <f>K15/365</f>
        <v>245.75342465753425</v>
      </c>
      <c r="M16" s="1115"/>
    </row>
    <row r="17" spans="1:17" s="40" customFormat="1" x14ac:dyDescent="0.2">
      <c r="A17" s="90"/>
      <c r="B17" s="39"/>
      <c r="C17" s="63"/>
      <c r="E17" s="63"/>
      <c r="G17" s="63"/>
      <c r="I17" s="63"/>
      <c r="K17" s="63"/>
    </row>
    <row r="18" spans="1:17" s="37" customFormat="1" x14ac:dyDescent="0.2">
      <c r="A18" s="35" t="s">
        <v>194</v>
      </c>
      <c r="B18" s="36"/>
      <c r="C18" s="87"/>
      <c r="E18" s="87"/>
      <c r="G18" s="87"/>
      <c r="I18" s="87"/>
      <c r="K18" s="87"/>
    </row>
    <row r="19" spans="1:17" s="37" customFormat="1" x14ac:dyDescent="0.2">
      <c r="A19" s="35" t="s">
        <v>195</v>
      </c>
      <c r="B19" s="36"/>
      <c r="C19" s="87"/>
      <c r="E19" s="87"/>
      <c r="G19" s="87"/>
      <c r="I19" s="87"/>
      <c r="K19" s="87"/>
    </row>
    <row r="20" spans="1:17" s="40" customFormat="1" x14ac:dyDescent="0.2">
      <c r="A20" s="38" t="s">
        <v>196</v>
      </c>
      <c r="B20" s="39"/>
      <c r="C20" s="63"/>
      <c r="E20" s="63"/>
      <c r="G20" s="63"/>
      <c r="I20" s="63"/>
      <c r="K20" s="76"/>
    </row>
    <row r="21" spans="1:17" s="40" customFormat="1" x14ac:dyDescent="0.2">
      <c r="A21" s="41" t="s">
        <v>197</v>
      </c>
      <c r="B21" s="39"/>
      <c r="C21" s="76">
        <v>341</v>
      </c>
      <c r="E21" s="76">
        <v>333</v>
      </c>
      <c r="G21" s="76">
        <v>332</v>
      </c>
      <c r="I21" s="76">
        <v>346</v>
      </c>
      <c r="K21" s="76">
        <v>353</v>
      </c>
      <c r="M21" s="78"/>
    </row>
    <row r="22" spans="1:17" s="40" customFormat="1" x14ac:dyDescent="0.2">
      <c r="A22" s="41" t="s">
        <v>198</v>
      </c>
      <c r="B22" s="39"/>
      <c r="C22" s="76">
        <v>341</v>
      </c>
      <c r="D22" s="77"/>
      <c r="E22" s="76">
        <v>333</v>
      </c>
      <c r="F22" s="77"/>
      <c r="G22" s="76">
        <v>332</v>
      </c>
      <c r="H22" s="77"/>
      <c r="I22" s="76">
        <v>346</v>
      </c>
      <c r="J22" s="77"/>
      <c r="K22" s="76">
        <v>353</v>
      </c>
      <c r="M22" s="78"/>
    </row>
    <row r="23" spans="1:17" s="40" customFormat="1" x14ac:dyDescent="0.2">
      <c r="A23" s="38" t="s">
        <v>199</v>
      </c>
      <c r="B23" s="39"/>
      <c r="C23" s="63"/>
      <c r="E23" s="63"/>
      <c r="G23" s="63"/>
      <c r="I23" s="63"/>
      <c r="K23" s="76"/>
      <c r="M23" s="393"/>
    </row>
    <row r="24" spans="1:17" s="40" customFormat="1" x14ac:dyDescent="0.2">
      <c r="A24" s="41" t="s">
        <v>1890</v>
      </c>
      <c r="B24" s="39"/>
      <c r="C24" s="76">
        <v>288</v>
      </c>
      <c r="E24" s="76">
        <v>284</v>
      </c>
      <c r="G24" s="76">
        <v>284</v>
      </c>
      <c r="I24" s="76">
        <v>291</v>
      </c>
      <c r="K24" s="76">
        <v>297</v>
      </c>
      <c r="M24" s="78"/>
    </row>
    <row r="25" spans="1:17" s="40" customFormat="1" x14ac:dyDescent="0.2">
      <c r="A25" s="41" t="s">
        <v>263</v>
      </c>
      <c r="B25" s="39"/>
      <c r="C25" s="76">
        <v>53</v>
      </c>
      <c r="E25" s="76">
        <v>49</v>
      </c>
      <c r="G25" s="76">
        <v>48</v>
      </c>
      <c r="I25" s="76">
        <v>55</v>
      </c>
      <c r="K25" s="76">
        <v>56</v>
      </c>
      <c r="M25" s="1116"/>
    </row>
    <row r="26" spans="1:17" s="40" customFormat="1" x14ac:dyDescent="0.2">
      <c r="A26" s="41" t="s">
        <v>198</v>
      </c>
      <c r="B26" s="39"/>
      <c r="C26" s="76">
        <f>SUM(C24:C25)</f>
        <v>341</v>
      </c>
      <c r="E26" s="76">
        <f>SUM(E24:E25)</f>
        <v>333</v>
      </c>
      <c r="G26" s="76">
        <f>SUM(G24:G25)</f>
        <v>332</v>
      </c>
      <c r="I26" s="76">
        <f>SUM(I24:I25)</f>
        <v>346</v>
      </c>
      <c r="K26" s="76">
        <f>SUM(K24:K25)</f>
        <v>353</v>
      </c>
      <c r="M26" s="1116"/>
    </row>
    <row r="27" spans="1:17" s="48" customFormat="1" x14ac:dyDescent="0.2">
      <c r="A27" s="46"/>
      <c r="B27" s="47"/>
    </row>
    <row r="28" spans="1:17" s="48" customFormat="1" x14ac:dyDescent="0.2">
      <c r="A28" s="49" t="s">
        <v>200</v>
      </c>
      <c r="B28" s="50"/>
      <c r="C28" s="51"/>
      <c r="D28" s="52"/>
      <c r="E28" s="53"/>
      <c r="F28" s="52"/>
      <c r="G28" s="53"/>
      <c r="H28" s="52"/>
      <c r="I28" s="53"/>
      <c r="J28" s="52"/>
      <c r="K28" s="53"/>
      <c r="L28" s="52"/>
      <c r="M28" s="51"/>
      <c r="N28" s="52"/>
    </row>
    <row r="29" spans="1:17" ht="27.75" customHeight="1" x14ac:dyDescent="0.2">
      <c r="A29" s="1738" t="s">
        <v>524</v>
      </c>
      <c r="B29" s="1736"/>
      <c r="C29" s="1737"/>
      <c r="D29" s="1736"/>
      <c r="E29" s="1737"/>
      <c r="F29" s="1736"/>
      <c r="G29" s="1737"/>
      <c r="H29" s="1736"/>
      <c r="I29" s="1737"/>
      <c r="J29" s="1736"/>
      <c r="K29" s="1737"/>
      <c r="L29" s="1736"/>
      <c r="M29" s="1737"/>
      <c r="N29" s="1736"/>
      <c r="O29" s="54"/>
      <c r="P29" s="54"/>
      <c r="Q29" s="951"/>
    </row>
    <row r="30" spans="1:17" ht="27.75" customHeight="1" x14ac:dyDescent="0.2">
      <c r="A30" s="1735"/>
      <c r="B30" s="1736"/>
      <c r="C30" s="1737"/>
      <c r="D30" s="1736"/>
      <c r="E30" s="1737"/>
      <c r="F30" s="1736"/>
      <c r="G30" s="1737"/>
      <c r="H30" s="1736"/>
      <c r="I30" s="1737"/>
      <c r="J30" s="1736"/>
      <c r="K30" s="1737"/>
      <c r="L30" s="1736"/>
      <c r="M30" s="1737"/>
      <c r="N30" s="1736"/>
      <c r="O30" s="54"/>
      <c r="P30" s="54"/>
    </row>
    <row r="31" spans="1:17" ht="27.75" customHeight="1" x14ac:dyDescent="0.2">
      <c r="A31" s="1735"/>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ht="27.75" customHeight="1" x14ac:dyDescent="0.2">
      <c r="A37" s="1735"/>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x14ac:dyDescent="0.2">
      <c r="A39" s="55"/>
      <c r="B39" s="54"/>
      <c r="C39" s="56"/>
      <c r="D39" s="54"/>
      <c r="E39" s="56"/>
      <c r="F39" s="54"/>
      <c r="G39" s="56"/>
      <c r="H39" s="54"/>
      <c r="I39" s="56"/>
      <c r="J39" s="54"/>
      <c r="K39" s="56"/>
      <c r="L39" s="54"/>
      <c r="M39" s="56"/>
      <c r="N39" s="54"/>
      <c r="O39" s="54"/>
      <c r="P39" s="54"/>
    </row>
    <row r="40" spans="1:17" x14ac:dyDescent="0.2">
      <c r="A40" s="55"/>
      <c r="B40" s="54"/>
      <c r="C40" s="54"/>
      <c r="D40" s="54"/>
      <c r="E40" s="54"/>
      <c r="F40" s="54"/>
      <c r="G40" s="54"/>
      <c r="H40" s="54"/>
      <c r="I40" s="54"/>
      <c r="J40" s="54"/>
      <c r="K40" s="54"/>
      <c r="L40" s="54"/>
      <c r="M40" s="54"/>
      <c r="N40" s="54"/>
      <c r="O40" s="54"/>
      <c r="P40" s="54"/>
    </row>
    <row r="41" spans="1:17" x14ac:dyDescent="0.2">
      <c r="A41" s="55"/>
      <c r="B41" s="54"/>
      <c r="C41" s="56"/>
      <c r="D41" s="54"/>
      <c r="E41" s="56"/>
      <c r="F41" s="54"/>
      <c r="G41" s="56"/>
      <c r="H41" s="54"/>
      <c r="I41" s="56"/>
      <c r="J41" s="54"/>
      <c r="K41" s="56"/>
      <c r="L41" s="54"/>
      <c r="M41" s="56"/>
      <c r="N41" s="54"/>
      <c r="O41" s="54"/>
      <c r="P41" s="54"/>
    </row>
    <row r="42" spans="1:17" x14ac:dyDescent="0.2">
      <c r="A42" s="55"/>
      <c r="B42" s="54"/>
      <c r="C42" s="54"/>
      <c r="D42" s="54"/>
      <c r="E42" s="54"/>
      <c r="F42" s="54"/>
      <c r="G42" s="54"/>
      <c r="H42" s="54"/>
      <c r="I42" s="54"/>
      <c r="J42" s="54"/>
      <c r="K42" s="54"/>
      <c r="L42" s="54"/>
      <c r="M42" s="54"/>
      <c r="N42" s="54"/>
      <c r="O42" s="54"/>
      <c r="P42" s="54"/>
    </row>
    <row r="43" spans="1:17" x14ac:dyDescent="0.2">
      <c r="A43" s="55"/>
      <c r="B43" s="54"/>
      <c r="C43" s="56"/>
      <c r="D43" s="54"/>
      <c r="E43" s="56"/>
      <c r="F43" s="54"/>
      <c r="G43" s="56"/>
      <c r="H43" s="54"/>
      <c r="I43" s="56"/>
      <c r="J43" s="54"/>
      <c r="K43" s="56"/>
      <c r="L43" s="54"/>
      <c r="M43" s="56"/>
      <c r="N43" s="54"/>
      <c r="O43" s="54"/>
      <c r="P43" s="54"/>
    </row>
    <row r="44" spans="1:17" x14ac:dyDescent="0.2">
      <c r="A44" s="55"/>
      <c r="B44" s="54"/>
      <c r="C44" s="54"/>
      <c r="D44" s="54"/>
      <c r="E44" s="54"/>
      <c r="F44" s="54"/>
      <c r="G44" s="54"/>
      <c r="H44" s="54"/>
      <c r="I44" s="54"/>
      <c r="J44" s="54"/>
      <c r="K44" s="54"/>
      <c r="L44" s="54"/>
      <c r="M44" s="54"/>
      <c r="N44" s="54"/>
      <c r="O44" s="54"/>
      <c r="P44" s="54"/>
    </row>
    <row r="45" spans="1:17" x14ac:dyDescent="0.2">
      <c r="A45" s="55"/>
      <c r="B45" s="54"/>
      <c r="C45" s="54"/>
      <c r="D45" s="54"/>
      <c r="E45" s="54"/>
      <c r="F45" s="54"/>
      <c r="G45" s="54"/>
      <c r="H45" s="54"/>
      <c r="I45" s="54"/>
      <c r="J45" s="54"/>
      <c r="K45" s="54"/>
      <c r="L45" s="54"/>
      <c r="M45" s="54"/>
      <c r="N45" s="54"/>
      <c r="O45" s="54"/>
      <c r="P45" s="54"/>
    </row>
    <row r="46" spans="1:17" x14ac:dyDescent="0.2">
      <c r="A46" s="55"/>
      <c r="B46" s="54"/>
      <c r="C46" s="54"/>
      <c r="D46" s="54"/>
      <c r="E46" s="54"/>
      <c r="F46" s="54"/>
      <c r="G46" s="54"/>
      <c r="H46" s="54"/>
      <c r="I46" s="54"/>
      <c r="J46" s="54"/>
      <c r="K46" s="54"/>
      <c r="L46" s="54"/>
      <c r="M46" s="54"/>
      <c r="N46" s="54"/>
      <c r="O46" s="54"/>
      <c r="P46" s="54"/>
      <c r="Q46" s="57"/>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sheetData>
  <mergeCells count="11">
    <mergeCell ref="A35:N35"/>
    <mergeCell ref="A36:N36"/>
    <mergeCell ref="A37:N37"/>
    <mergeCell ref="A38:N38"/>
    <mergeCell ref="K2:K3"/>
    <mergeCell ref="A29:N29"/>
    <mergeCell ref="A30:N30"/>
    <mergeCell ref="A31:N31"/>
    <mergeCell ref="A32:N32"/>
    <mergeCell ref="A33:N33"/>
    <mergeCell ref="A34:N34"/>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0">
    <pageSetUpPr fitToPage="1"/>
  </sheetPr>
  <dimension ref="A1:Q8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1843</v>
      </c>
      <c r="C3" s="10" t="s">
        <v>1844</v>
      </c>
      <c r="D3" s="6"/>
      <c r="E3" s="11"/>
      <c r="F3" s="9"/>
      <c r="G3" s="11"/>
      <c r="H3" s="6"/>
      <c r="I3" s="11"/>
      <c r="J3" s="6"/>
      <c r="K3" s="1734"/>
      <c r="L3" s="6"/>
      <c r="M3" s="11"/>
      <c r="N3" s="6"/>
    </row>
    <row r="4" spans="1:16" s="4" customFormat="1" ht="15.75" x14ac:dyDescent="0.25">
      <c r="A4" s="1" t="s">
        <v>180</v>
      </c>
      <c r="B4" s="10" t="s">
        <v>1863</v>
      </c>
      <c r="C4" s="10" t="s">
        <v>1864</v>
      </c>
      <c r="D4" s="6"/>
      <c r="E4" s="11"/>
      <c r="F4" s="9"/>
      <c r="G4" s="11"/>
      <c r="H4" s="6"/>
      <c r="I4" s="11"/>
      <c r="J4" s="6"/>
      <c r="K4" s="11"/>
      <c r="L4" s="6"/>
      <c r="M4" s="11"/>
      <c r="N4" s="6"/>
    </row>
    <row r="5" spans="1:16" s="4" customFormat="1" ht="15.75" x14ac:dyDescent="0.2">
      <c r="A5" s="1" t="s">
        <v>183</v>
      </c>
      <c r="B5" s="12" t="s">
        <v>1895</v>
      </c>
      <c r="C5" s="12" t="s">
        <v>45</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517</v>
      </c>
      <c r="B10" s="36"/>
    </row>
    <row r="11" spans="1:16" s="37" customFormat="1" x14ac:dyDescent="0.2">
      <c r="A11" s="35" t="s">
        <v>1890</v>
      </c>
      <c r="B11" s="36"/>
    </row>
    <row r="12" spans="1:16" s="40" customFormat="1" x14ac:dyDescent="0.2">
      <c r="A12" s="41" t="s">
        <v>1891</v>
      </c>
      <c r="B12" s="39"/>
      <c r="C12" s="76">
        <v>300</v>
      </c>
      <c r="E12" s="76">
        <v>300</v>
      </c>
      <c r="G12" s="76">
        <v>300</v>
      </c>
      <c r="I12" s="76">
        <v>300</v>
      </c>
      <c r="K12" s="76">
        <v>300</v>
      </c>
      <c r="M12" s="78"/>
    </row>
    <row r="13" spans="1:16" s="40" customFormat="1" x14ac:dyDescent="0.2">
      <c r="A13" s="90" t="s">
        <v>354</v>
      </c>
      <c r="B13" s="39"/>
      <c r="C13" s="76">
        <v>291</v>
      </c>
      <c r="E13" s="76">
        <v>291</v>
      </c>
      <c r="G13" s="76">
        <v>292</v>
      </c>
      <c r="I13" s="76">
        <v>291</v>
      </c>
      <c r="K13" s="76">
        <v>291</v>
      </c>
      <c r="M13" s="78"/>
    </row>
    <row r="14" spans="1:16" s="40" customFormat="1" x14ac:dyDescent="0.2">
      <c r="A14" s="90" t="s">
        <v>1892</v>
      </c>
      <c r="B14" s="39"/>
      <c r="C14" s="833" t="str">
        <f>TEXT(ROUND(C13/376,1),"0.0")&amp;"/1"</f>
        <v>0.8/1</v>
      </c>
      <c r="D14" s="1077"/>
      <c r="E14" s="833" t="s">
        <v>1893</v>
      </c>
      <c r="G14" s="833" t="str">
        <f>TEXT(ROUND(G13/G22,1),"0.0")&amp;"/1"</f>
        <v>0.8/1</v>
      </c>
      <c r="I14" s="833" t="str">
        <f>TEXT(ROUND(I13/I22,1),"0.0")&amp;"/1"</f>
        <v>0.8/1</v>
      </c>
      <c r="K14" s="833" t="str">
        <f>TEXT(ROUND(K13/K22,1),"0.0")&amp;"/1"</f>
        <v>0.8/1</v>
      </c>
      <c r="M14" s="1117"/>
    </row>
    <row r="15" spans="1:16" s="40" customFormat="1" x14ac:dyDescent="0.2">
      <c r="A15" s="90" t="s">
        <v>533</v>
      </c>
      <c r="B15" s="39"/>
      <c r="C15" s="97">
        <f>29940000/C13</f>
        <v>102886.59793814433</v>
      </c>
      <c r="E15" s="97">
        <f>31692000/E13</f>
        <v>108907.21649484536</v>
      </c>
      <c r="G15" s="97">
        <f>30148000/G13</f>
        <v>103246.57534246576</v>
      </c>
      <c r="I15" s="97">
        <f>30482000/I13</f>
        <v>104749.14089347079</v>
      </c>
      <c r="K15" s="97">
        <f>30148000/K13</f>
        <v>103601.37457044673</v>
      </c>
      <c r="M15" s="202"/>
    </row>
    <row r="16" spans="1:16" s="40" customFormat="1" x14ac:dyDescent="0.2">
      <c r="A16" s="90" t="s">
        <v>534</v>
      </c>
      <c r="B16" s="39"/>
      <c r="C16" s="253">
        <f>C15/365</f>
        <v>281.88109024149134</v>
      </c>
      <c r="E16" s="253">
        <f>E15/365</f>
        <v>298.37593560231602</v>
      </c>
      <c r="G16" s="253">
        <f>G15/365</f>
        <v>282.86732970538566</v>
      </c>
      <c r="I16" s="253">
        <f>I15/365</f>
        <v>286.98394765334461</v>
      </c>
      <c r="K16" s="253">
        <f>K15/365</f>
        <v>283.83938238478555</v>
      </c>
      <c r="M16" s="965"/>
    </row>
    <row r="17" spans="1:17" s="40" customFormat="1" x14ac:dyDescent="0.2">
      <c r="A17" s="90"/>
      <c r="B17" s="39"/>
    </row>
    <row r="18" spans="1:17" s="37" customFormat="1" x14ac:dyDescent="0.2">
      <c r="A18" s="35" t="s">
        <v>194</v>
      </c>
      <c r="B18" s="36"/>
      <c r="M18" s="108"/>
    </row>
    <row r="19" spans="1:17" s="37" customFormat="1" x14ac:dyDescent="0.2">
      <c r="A19" s="35" t="s">
        <v>195</v>
      </c>
      <c r="B19" s="36"/>
    </row>
    <row r="20" spans="1:17" s="40" customFormat="1" x14ac:dyDescent="0.2">
      <c r="A20" s="38" t="s">
        <v>196</v>
      </c>
      <c r="B20" s="39"/>
    </row>
    <row r="21" spans="1:17" s="40" customFormat="1" x14ac:dyDescent="0.2">
      <c r="A21" s="41" t="s">
        <v>197</v>
      </c>
      <c r="B21" s="39"/>
      <c r="C21" s="76">
        <v>376</v>
      </c>
      <c r="D21" s="63"/>
      <c r="E21" s="76">
        <v>360</v>
      </c>
      <c r="G21" s="76">
        <v>358</v>
      </c>
      <c r="I21" s="76">
        <v>366</v>
      </c>
      <c r="K21" s="76">
        <v>374</v>
      </c>
      <c r="M21" s="78"/>
    </row>
    <row r="22" spans="1:17" s="40" customFormat="1" x14ac:dyDescent="0.2">
      <c r="A22" s="41" t="s">
        <v>198</v>
      </c>
      <c r="B22" s="39"/>
      <c r="C22" s="76">
        <v>376</v>
      </c>
      <c r="D22" s="63"/>
      <c r="E22" s="76">
        <v>360</v>
      </c>
      <c r="G22" s="76">
        <v>358</v>
      </c>
      <c r="I22" s="76">
        <v>366</v>
      </c>
      <c r="K22" s="76">
        <v>374</v>
      </c>
      <c r="M22" s="78"/>
    </row>
    <row r="23" spans="1:17" s="40" customFormat="1" x14ac:dyDescent="0.2">
      <c r="A23" s="38" t="s">
        <v>199</v>
      </c>
      <c r="B23" s="39"/>
      <c r="C23" s="63"/>
      <c r="D23" s="63"/>
      <c r="E23" s="63"/>
      <c r="G23" s="63"/>
      <c r="I23" s="63"/>
      <c r="K23" s="63"/>
      <c r="M23" s="78"/>
    </row>
    <row r="24" spans="1:17" s="40" customFormat="1" x14ac:dyDescent="0.2">
      <c r="A24" s="41" t="s">
        <v>1890</v>
      </c>
      <c r="B24" s="39"/>
      <c r="C24" s="71">
        <v>293</v>
      </c>
      <c r="D24" s="63"/>
      <c r="E24" s="71">
        <v>277</v>
      </c>
      <c r="G24" s="71">
        <v>278</v>
      </c>
      <c r="I24" s="71">
        <v>288</v>
      </c>
      <c r="K24" s="71">
        <v>290</v>
      </c>
      <c r="M24" s="1112"/>
    </row>
    <row r="25" spans="1:17" s="40" customFormat="1" x14ac:dyDescent="0.2">
      <c r="A25" s="41" t="s">
        <v>263</v>
      </c>
      <c r="B25" s="39"/>
      <c r="C25" s="71">
        <v>83</v>
      </c>
      <c r="D25" s="63"/>
      <c r="E25" s="71">
        <v>83</v>
      </c>
      <c r="G25" s="71">
        <v>80</v>
      </c>
      <c r="I25" s="71">
        <v>78</v>
      </c>
      <c r="K25" s="71">
        <v>84</v>
      </c>
      <c r="M25" s="1112"/>
    </row>
    <row r="26" spans="1:17" s="40" customFormat="1" x14ac:dyDescent="0.2">
      <c r="A26" s="41" t="s">
        <v>198</v>
      </c>
      <c r="B26" s="39"/>
      <c r="C26" s="71">
        <f>SUM(C24:C25)</f>
        <v>376</v>
      </c>
      <c r="D26" s="63"/>
      <c r="E26" s="71">
        <f>SUM(E24:E25)</f>
        <v>360</v>
      </c>
      <c r="G26" s="71">
        <f>SUM(G24:G25)</f>
        <v>358</v>
      </c>
      <c r="I26" s="71">
        <f>SUM(I24:I25)</f>
        <v>366</v>
      </c>
      <c r="K26" s="71">
        <f>SUM(K24:K25)</f>
        <v>374</v>
      </c>
      <c r="M26" s="1112"/>
    </row>
    <row r="27" spans="1:17" s="48" customFormat="1" x14ac:dyDescent="0.2">
      <c r="A27" s="46"/>
      <c r="B27" s="47"/>
    </row>
    <row r="28" spans="1:17" s="48" customFormat="1" x14ac:dyDescent="0.2">
      <c r="A28" s="49" t="s">
        <v>200</v>
      </c>
      <c r="B28" s="50"/>
      <c r="C28" s="51"/>
      <c r="D28" s="52"/>
      <c r="E28" s="53"/>
      <c r="F28" s="52"/>
      <c r="G28" s="53"/>
      <c r="H28" s="52"/>
      <c r="I28" s="53"/>
      <c r="J28" s="52"/>
      <c r="K28" s="53"/>
      <c r="L28" s="52"/>
      <c r="M28" s="51"/>
      <c r="N28" s="52"/>
    </row>
    <row r="29" spans="1:17" ht="28.5" customHeight="1" x14ac:dyDescent="0.2">
      <c r="A29" s="1738" t="s">
        <v>524</v>
      </c>
      <c r="B29" s="1736"/>
      <c r="C29" s="1737"/>
      <c r="D29" s="1736"/>
      <c r="E29" s="1737"/>
      <c r="F29" s="1736"/>
      <c r="G29" s="1737"/>
      <c r="H29" s="1736"/>
      <c r="I29" s="1737"/>
      <c r="J29" s="1736"/>
      <c r="K29" s="1737"/>
      <c r="L29" s="1736"/>
      <c r="M29" s="1737"/>
      <c r="N29" s="1736"/>
      <c r="O29" s="54"/>
      <c r="P29" s="54"/>
      <c r="Q29" s="951"/>
    </row>
    <row r="30" spans="1:17" x14ac:dyDescent="0.2">
      <c r="A30" s="55"/>
      <c r="B30" s="54"/>
      <c r="C30" s="54"/>
      <c r="D30" s="54"/>
      <c r="E30" s="54"/>
      <c r="F30" s="54"/>
      <c r="G30" s="54"/>
      <c r="H30" s="54"/>
      <c r="I30" s="54"/>
      <c r="J30" s="54"/>
      <c r="K30" s="54"/>
      <c r="L30" s="54"/>
      <c r="M30" s="54"/>
      <c r="N30" s="54"/>
      <c r="O30" s="54"/>
      <c r="P30" s="54"/>
    </row>
    <row r="31" spans="1:17" x14ac:dyDescent="0.2">
      <c r="A31" s="55"/>
      <c r="B31" s="54"/>
      <c r="C31" s="56"/>
      <c r="D31" s="54"/>
      <c r="E31" s="56"/>
      <c r="F31" s="54"/>
      <c r="G31" s="56"/>
      <c r="H31" s="54"/>
      <c r="I31" s="56"/>
      <c r="J31" s="54"/>
      <c r="K31" s="56"/>
      <c r="L31" s="54"/>
      <c r="M31" s="56"/>
      <c r="N31" s="54"/>
      <c r="O31" s="54"/>
      <c r="P31" s="54"/>
    </row>
    <row r="32" spans="1:17" x14ac:dyDescent="0.2">
      <c r="A32" s="55"/>
      <c r="B32" s="54"/>
      <c r="C32" s="54"/>
      <c r="D32" s="54"/>
      <c r="E32" s="54"/>
      <c r="F32" s="54"/>
      <c r="G32" s="54"/>
      <c r="H32" s="54"/>
      <c r="I32" s="54"/>
      <c r="J32" s="54"/>
      <c r="K32" s="54"/>
      <c r="L32" s="54"/>
      <c r="M32" s="54"/>
      <c r="N32" s="54"/>
      <c r="O32" s="54"/>
      <c r="P32" s="54"/>
    </row>
    <row r="33" spans="1:17" x14ac:dyDescent="0.2">
      <c r="A33" s="55"/>
      <c r="B33" s="54"/>
      <c r="C33" s="56"/>
      <c r="D33" s="54"/>
      <c r="E33" s="56"/>
      <c r="F33" s="54"/>
      <c r="G33" s="56"/>
      <c r="H33" s="54"/>
      <c r="I33" s="56"/>
      <c r="J33" s="54"/>
      <c r="K33" s="56"/>
      <c r="L33" s="54"/>
      <c r="M33" s="56"/>
      <c r="N33" s="54"/>
      <c r="O33" s="54"/>
      <c r="P33" s="54"/>
    </row>
    <row r="34" spans="1:17" x14ac:dyDescent="0.2">
      <c r="A34" s="55"/>
      <c r="B34" s="54"/>
      <c r="C34" s="54"/>
      <c r="D34" s="54"/>
      <c r="E34" s="54"/>
      <c r="F34" s="54"/>
      <c r="G34" s="54"/>
      <c r="H34" s="54"/>
      <c r="I34" s="54"/>
      <c r="J34" s="54"/>
      <c r="K34" s="54"/>
      <c r="L34" s="54"/>
      <c r="M34" s="54"/>
      <c r="N34" s="54"/>
      <c r="O34" s="54"/>
      <c r="P34" s="54"/>
    </row>
    <row r="35" spans="1:17" x14ac:dyDescent="0.2">
      <c r="A35" s="55"/>
      <c r="B35" s="54"/>
      <c r="C35" s="54"/>
      <c r="D35" s="54"/>
      <c r="E35" s="54"/>
      <c r="F35" s="54"/>
      <c r="G35" s="54"/>
      <c r="H35" s="54"/>
      <c r="I35" s="54"/>
      <c r="J35" s="54"/>
      <c r="K35" s="54"/>
      <c r="L35" s="54"/>
      <c r="M35" s="54"/>
      <c r="N35" s="54"/>
      <c r="O35" s="54"/>
      <c r="P35" s="54"/>
    </row>
    <row r="36" spans="1:17" x14ac:dyDescent="0.2">
      <c r="A36" s="55"/>
      <c r="B36" s="54"/>
      <c r="C36" s="54"/>
      <c r="D36" s="54"/>
      <c r="E36" s="54"/>
      <c r="F36" s="54"/>
      <c r="G36" s="54"/>
      <c r="H36" s="54"/>
      <c r="I36" s="54"/>
      <c r="J36" s="54"/>
      <c r="K36" s="54"/>
      <c r="L36" s="54"/>
      <c r="M36" s="54"/>
      <c r="N36" s="54"/>
      <c r="O36" s="54"/>
      <c r="P36" s="54"/>
      <c r="Q36" s="57"/>
    </row>
    <row r="37" spans="1:17" x14ac:dyDescent="0.2">
      <c r="B37" s="25"/>
      <c r="C37" s="25"/>
      <c r="D37" s="25"/>
      <c r="E37" s="58"/>
      <c r="F37" s="58"/>
      <c r="G37" s="58"/>
      <c r="H37" s="58"/>
    </row>
    <row r="38" spans="1:17" x14ac:dyDescent="0.2">
      <c r="B38" s="25"/>
      <c r="C38" s="25"/>
      <c r="D38" s="25"/>
      <c r="E38" s="58"/>
      <c r="F38" s="58"/>
      <c r="G38" s="58"/>
      <c r="H38" s="58"/>
    </row>
    <row r="39" spans="1:17" s="59" customFormat="1" x14ac:dyDescent="0.2">
      <c r="A39" s="25"/>
      <c r="B39" s="25"/>
      <c r="C39" s="25"/>
      <c r="D39" s="25"/>
      <c r="E39" s="58"/>
      <c r="F39" s="58"/>
      <c r="G39" s="58"/>
      <c r="H39" s="58"/>
      <c r="J39" s="60"/>
      <c r="L39" s="60"/>
      <c r="N39" s="60"/>
      <c r="P39" s="60"/>
      <c r="Q39" s="29"/>
    </row>
    <row r="40" spans="1:17" s="59" customFormat="1" x14ac:dyDescent="0.2">
      <c r="A40" s="25"/>
      <c r="B40" s="25"/>
      <c r="C40" s="25"/>
      <c r="D40" s="25"/>
      <c r="E40" s="58"/>
      <c r="F40" s="58"/>
      <c r="G40" s="58"/>
      <c r="H40" s="58"/>
      <c r="J40" s="60"/>
      <c r="L40" s="60"/>
      <c r="N40" s="60"/>
      <c r="P40" s="60"/>
      <c r="Q40" s="29"/>
    </row>
    <row r="41" spans="1:17" s="59" customFormat="1" x14ac:dyDescent="0.2">
      <c r="A41" s="25"/>
      <c r="B41" s="25"/>
      <c r="C41" s="25"/>
      <c r="D41" s="25"/>
      <c r="E41" s="58"/>
      <c r="F41" s="58"/>
      <c r="G41" s="58"/>
      <c r="H41" s="58"/>
      <c r="J41" s="60"/>
      <c r="L41" s="60"/>
      <c r="N41" s="60"/>
      <c r="P41" s="60"/>
      <c r="Q41" s="29"/>
    </row>
    <row r="42" spans="1:17" s="59" customFormat="1" x14ac:dyDescent="0.2">
      <c r="A42" s="25"/>
      <c r="B42" s="25"/>
      <c r="C42" s="25"/>
      <c r="D42" s="25"/>
      <c r="E42" s="58"/>
      <c r="F42" s="58"/>
      <c r="G42" s="58"/>
      <c r="H42" s="58"/>
      <c r="J42" s="60"/>
      <c r="L42" s="60"/>
      <c r="N42" s="60"/>
      <c r="P42" s="60"/>
      <c r="Q42" s="29"/>
    </row>
    <row r="43" spans="1:17" s="59" customFormat="1" x14ac:dyDescent="0.2">
      <c r="A43" s="25"/>
      <c r="B43" s="25"/>
      <c r="C43" s="25"/>
      <c r="D43" s="25"/>
      <c r="E43" s="58"/>
      <c r="F43" s="58"/>
      <c r="G43" s="58"/>
      <c r="H43" s="58"/>
      <c r="J43" s="60"/>
      <c r="L43" s="60"/>
      <c r="N43" s="60"/>
      <c r="P43" s="60"/>
      <c r="Q43" s="29"/>
    </row>
    <row r="44" spans="1:17" s="59" customFormat="1" x14ac:dyDescent="0.2">
      <c r="A44" s="25"/>
      <c r="B44" s="25"/>
      <c r="C44" s="25"/>
      <c r="D44" s="25"/>
      <c r="E44" s="58"/>
      <c r="F44" s="58"/>
      <c r="G44" s="58"/>
      <c r="H44" s="58"/>
      <c r="J44" s="60"/>
      <c r="L44" s="60"/>
      <c r="N44" s="60"/>
      <c r="P44" s="60"/>
      <c r="Q44" s="29"/>
    </row>
    <row r="45" spans="1:17" s="59" customFormat="1" x14ac:dyDescent="0.2">
      <c r="A45" s="25"/>
      <c r="B45" s="25"/>
      <c r="C45" s="25"/>
      <c r="D45" s="25"/>
      <c r="E45" s="58"/>
      <c r="F45" s="58"/>
      <c r="G45" s="58"/>
      <c r="H45" s="58"/>
      <c r="J45" s="60"/>
      <c r="L45" s="60"/>
      <c r="N45" s="60"/>
      <c r="P45" s="60"/>
      <c r="Q45" s="29"/>
    </row>
    <row r="46" spans="1:17" s="59" customFormat="1" x14ac:dyDescent="0.2">
      <c r="A46" s="25"/>
      <c r="B46" s="25"/>
      <c r="C46" s="25"/>
      <c r="D46" s="25"/>
      <c r="E46" s="58"/>
      <c r="F46" s="58"/>
      <c r="G46" s="58"/>
      <c r="H46" s="58"/>
      <c r="J46" s="60"/>
      <c r="L46" s="60"/>
      <c r="N46" s="60"/>
      <c r="P46" s="60"/>
      <c r="Q46" s="29"/>
    </row>
    <row r="47" spans="1:17" s="59" customFormat="1" x14ac:dyDescent="0.2">
      <c r="A47" s="25"/>
      <c r="B47" s="25"/>
      <c r="C47" s="25"/>
      <c r="D47" s="25"/>
      <c r="E47" s="58"/>
      <c r="F47" s="58"/>
      <c r="G47" s="58"/>
      <c r="H47" s="58"/>
      <c r="J47" s="60"/>
      <c r="L47" s="60"/>
      <c r="N47" s="60"/>
      <c r="P47" s="60"/>
      <c r="Q47" s="29"/>
    </row>
    <row r="48" spans="1:17" s="59" customFormat="1" x14ac:dyDescent="0.2">
      <c r="A48" s="25"/>
      <c r="B48" s="25"/>
      <c r="C48" s="25"/>
      <c r="D48" s="25"/>
      <c r="E48" s="58"/>
      <c r="F48" s="58"/>
      <c r="G48" s="58"/>
      <c r="H48" s="58"/>
      <c r="J48" s="60"/>
      <c r="L48" s="60"/>
      <c r="N48" s="60"/>
      <c r="P48" s="60"/>
      <c r="Q48" s="29"/>
    </row>
    <row r="49" spans="1:17" s="59" customFormat="1" x14ac:dyDescent="0.2">
      <c r="A49" s="25"/>
      <c r="B49" s="25"/>
      <c r="C49" s="25"/>
      <c r="D49" s="25"/>
      <c r="E49" s="58"/>
      <c r="F49" s="58"/>
      <c r="G49" s="58"/>
      <c r="H49" s="58"/>
      <c r="J49" s="60"/>
      <c r="L49" s="60"/>
      <c r="N49" s="60"/>
      <c r="P49" s="60"/>
      <c r="Q49" s="29"/>
    </row>
    <row r="50" spans="1:17" s="59" customFormat="1" x14ac:dyDescent="0.2">
      <c r="A50" s="25"/>
      <c r="B50" s="25"/>
      <c r="C50" s="25"/>
      <c r="D50" s="25"/>
      <c r="E50" s="58"/>
      <c r="F50" s="58"/>
      <c r="G50" s="58"/>
      <c r="H50" s="58"/>
      <c r="J50" s="60"/>
      <c r="L50" s="60"/>
      <c r="N50" s="60"/>
      <c r="P50" s="60"/>
      <c r="Q50" s="29"/>
    </row>
    <row r="51" spans="1:17" s="59" customFormat="1" x14ac:dyDescent="0.2">
      <c r="A51" s="25"/>
      <c r="B51" s="25"/>
      <c r="C51" s="25"/>
      <c r="D51" s="25"/>
      <c r="E51" s="58"/>
      <c r="F51" s="58"/>
      <c r="G51" s="58"/>
      <c r="H51" s="58"/>
      <c r="J51" s="60"/>
      <c r="L51" s="60"/>
      <c r="N51" s="60"/>
      <c r="P51" s="60"/>
      <c r="Q51" s="29"/>
    </row>
    <row r="52" spans="1:17" s="59" customFormat="1" x14ac:dyDescent="0.2">
      <c r="A52" s="25"/>
      <c r="B52" s="25"/>
      <c r="C52" s="25"/>
      <c r="D52" s="25"/>
      <c r="E52" s="58"/>
      <c r="F52" s="58"/>
      <c r="G52" s="58"/>
      <c r="H52" s="58"/>
      <c r="J52" s="60"/>
      <c r="L52" s="60"/>
      <c r="N52" s="60"/>
      <c r="P52" s="60"/>
      <c r="Q52" s="29"/>
    </row>
    <row r="53" spans="1:17" s="59" customFormat="1" x14ac:dyDescent="0.2">
      <c r="A53" s="25"/>
      <c r="B53" s="25"/>
      <c r="C53" s="25"/>
      <c r="D53" s="25"/>
      <c r="E53" s="58"/>
      <c r="F53" s="58"/>
      <c r="G53" s="58"/>
      <c r="H53" s="58"/>
      <c r="J53" s="60"/>
      <c r="L53" s="60"/>
      <c r="N53" s="60"/>
      <c r="P53" s="60"/>
      <c r="Q53" s="29"/>
    </row>
    <row r="54" spans="1:17" s="59" customFormat="1" x14ac:dyDescent="0.2">
      <c r="A54" s="25"/>
      <c r="B54" s="25"/>
      <c r="C54" s="25"/>
      <c r="D54" s="25"/>
      <c r="E54" s="58"/>
      <c r="F54" s="58"/>
      <c r="G54" s="58"/>
      <c r="H54" s="58"/>
      <c r="J54" s="60"/>
      <c r="L54" s="60"/>
      <c r="N54" s="60"/>
      <c r="P54" s="60"/>
      <c r="Q54" s="29"/>
    </row>
    <row r="55" spans="1:17" s="59" customFormat="1" x14ac:dyDescent="0.2">
      <c r="A55" s="25"/>
      <c r="B55" s="25"/>
      <c r="C55" s="25"/>
      <c r="D55" s="25"/>
      <c r="E55" s="58"/>
      <c r="F55" s="58"/>
      <c r="G55" s="58"/>
      <c r="H55" s="58"/>
      <c r="J55" s="60"/>
      <c r="L55" s="60"/>
      <c r="N55" s="60"/>
      <c r="P55" s="60"/>
      <c r="Q55" s="29"/>
    </row>
    <row r="56" spans="1:17" s="59" customFormat="1" x14ac:dyDescent="0.2">
      <c r="A56" s="25"/>
      <c r="B56" s="25"/>
      <c r="C56" s="25"/>
      <c r="D56" s="25"/>
      <c r="E56" s="58"/>
      <c r="F56" s="58"/>
      <c r="G56" s="58"/>
      <c r="H56" s="58"/>
      <c r="J56" s="60"/>
      <c r="L56" s="60"/>
      <c r="N56" s="60"/>
      <c r="P56" s="60"/>
      <c r="Q56" s="29"/>
    </row>
    <row r="57" spans="1:17" s="59" customFormat="1" x14ac:dyDescent="0.2">
      <c r="A57" s="25"/>
      <c r="B57" s="25"/>
      <c r="C57" s="25"/>
      <c r="D57" s="25"/>
      <c r="E57" s="58"/>
      <c r="F57" s="58"/>
      <c r="G57" s="58"/>
      <c r="H57" s="58"/>
      <c r="J57" s="60"/>
      <c r="L57" s="60"/>
      <c r="N57" s="60"/>
      <c r="P57" s="60"/>
      <c r="Q57" s="29"/>
    </row>
    <row r="58" spans="1:17" s="59" customFormat="1" x14ac:dyDescent="0.2">
      <c r="A58" s="25"/>
      <c r="B58" s="25"/>
      <c r="C58" s="25"/>
      <c r="D58" s="25"/>
      <c r="E58" s="58"/>
      <c r="F58" s="58"/>
      <c r="G58" s="58"/>
      <c r="H58" s="58"/>
      <c r="J58" s="60"/>
      <c r="L58" s="60"/>
      <c r="N58" s="60"/>
      <c r="P58" s="60"/>
      <c r="Q58" s="29"/>
    </row>
    <row r="59" spans="1:17" s="59" customFormat="1" x14ac:dyDescent="0.2">
      <c r="A59" s="25"/>
      <c r="B59" s="25"/>
      <c r="C59" s="25"/>
      <c r="D59" s="25"/>
      <c r="E59" s="58"/>
      <c r="F59" s="58"/>
      <c r="G59" s="58"/>
      <c r="H59" s="58"/>
      <c r="J59" s="60"/>
      <c r="L59" s="60"/>
      <c r="N59" s="60"/>
      <c r="P59" s="60"/>
      <c r="Q59" s="29"/>
    </row>
    <row r="60" spans="1:17" s="59" customFormat="1" x14ac:dyDescent="0.2">
      <c r="A60" s="25"/>
      <c r="B60" s="25"/>
      <c r="C60" s="25"/>
      <c r="D60" s="25"/>
      <c r="E60" s="58"/>
      <c r="F60" s="58"/>
      <c r="G60" s="58"/>
      <c r="H60" s="58"/>
      <c r="J60" s="60"/>
      <c r="L60" s="60"/>
      <c r="N60" s="60"/>
      <c r="P60" s="60"/>
      <c r="Q60" s="29"/>
    </row>
    <row r="61" spans="1:17" s="59" customFormat="1" x14ac:dyDescent="0.2">
      <c r="A61" s="25"/>
      <c r="B61" s="25"/>
      <c r="C61" s="25"/>
      <c r="D61" s="25"/>
      <c r="E61" s="58"/>
      <c r="F61" s="58"/>
      <c r="G61" s="58"/>
      <c r="H61" s="58"/>
      <c r="J61" s="60"/>
      <c r="L61" s="60"/>
      <c r="N61" s="60"/>
      <c r="P61" s="60"/>
      <c r="Q61" s="29"/>
    </row>
    <row r="62" spans="1:17" s="59" customFormat="1" x14ac:dyDescent="0.2">
      <c r="A62" s="25"/>
      <c r="B62" s="25"/>
      <c r="C62" s="25"/>
      <c r="D62" s="25"/>
      <c r="E62" s="58"/>
      <c r="F62" s="58"/>
      <c r="G62" s="58"/>
      <c r="H62" s="58"/>
      <c r="J62" s="60"/>
      <c r="L62" s="60"/>
      <c r="N62" s="60"/>
      <c r="P62" s="60"/>
      <c r="Q62" s="29"/>
    </row>
    <row r="63" spans="1:17" s="59" customFormat="1" x14ac:dyDescent="0.2">
      <c r="A63" s="25"/>
      <c r="B63" s="25"/>
      <c r="C63" s="25"/>
      <c r="D63" s="25"/>
      <c r="E63" s="58"/>
      <c r="F63" s="58"/>
      <c r="G63" s="58"/>
      <c r="H63" s="58"/>
      <c r="J63" s="60"/>
      <c r="L63" s="60"/>
      <c r="N63" s="60"/>
      <c r="P63" s="60"/>
      <c r="Q63" s="29"/>
    </row>
    <row r="64" spans="1:17" s="59" customFormat="1" x14ac:dyDescent="0.2">
      <c r="A64" s="25"/>
      <c r="B64" s="25"/>
      <c r="C64" s="25"/>
      <c r="D64" s="25"/>
      <c r="E64" s="58"/>
      <c r="F64" s="58"/>
      <c r="G64" s="58"/>
      <c r="H64" s="58"/>
      <c r="J64" s="60"/>
      <c r="L64" s="60"/>
      <c r="N64" s="60"/>
      <c r="P64" s="60"/>
      <c r="Q64" s="29"/>
    </row>
    <row r="65" spans="1:17" s="59" customFormat="1" x14ac:dyDescent="0.2">
      <c r="A65" s="25"/>
      <c r="B65" s="25"/>
      <c r="C65" s="25"/>
      <c r="D65" s="25"/>
      <c r="E65" s="58"/>
      <c r="F65" s="58"/>
      <c r="G65" s="58"/>
      <c r="H65" s="58"/>
      <c r="J65" s="60"/>
      <c r="L65" s="60"/>
      <c r="N65" s="60"/>
      <c r="P65" s="60"/>
      <c r="Q65" s="29"/>
    </row>
    <row r="66" spans="1:17" s="59" customFormat="1" x14ac:dyDescent="0.2">
      <c r="A66" s="25"/>
      <c r="B66" s="25"/>
      <c r="C66" s="61"/>
      <c r="D66" s="61"/>
      <c r="F66" s="60"/>
      <c r="H66" s="60"/>
      <c r="J66" s="60"/>
      <c r="L66" s="60"/>
      <c r="N66" s="60"/>
      <c r="P66" s="60"/>
      <c r="Q66" s="29"/>
    </row>
    <row r="67" spans="1:17" s="59" customFormat="1" x14ac:dyDescent="0.2">
      <c r="A67" s="25"/>
      <c r="B67" s="25"/>
      <c r="C67" s="61"/>
      <c r="D67" s="61"/>
      <c r="F67" s="60"/>
      <c r="H67" s="60"/>
      <c r="J67" s="60"/>
      <c r="L67" s="60"/>
      <c r="N67" s="60"/>
      <c r="P67" s="60"/>
      <c r="Q67" s="29"/>
    </row>
    <row r="68" spans="1:17" s="59" customFormat="1" x14ac:dyDescent="0.2">
      <c r="A68" s="25"/>
      <c r="B68" s="25"/>
      <c r="C68" s="61"/>
      <c r="D68" s="61"/>
      <c r="F68" s="60"/>
      <c r="H68" s="60"/>
      <c r="J68" s="60"/>
      <c r="L68" s="60"/>
      <c r="N68" s="60"/>
      <c r="P68" s="60"/>
      <c r="Q68" s="29"/>
    </row>
    <row r="69" spans="1:17" s="59" customFormat="1" x14ac:dyDescent="0.2">
      <c r="A69" s="25"/>
      <c r="B69" s="25"/>
      <c r="C69" s="61"/>
      <c r="D69" s="61"/>
      <c r="F69" s="60"/>
      <c r="H69" s="60"/>
      <c r="J69" s="60"/>
      <c r="L69" s="60"/>
      <c r="N69" s="60"/>
      <c r="P69" s="60"/>
      <c r="Q69" s="29"/>
    </row>
    <row r="70" spans="1:17" s="59" customFormat="1" x14ac:dyDescent="0.2">
      <c r="A70" s="25"/>
      <c r="B70" s="25"/>
      <c r="C70" s="61"/>
      <c r="D70" s="61"/>
      <c r="F70" s="60"/>
      <c r="H70" s="60"/>
      <c r="J70" s="60"/>
      <c r="L70" s="60"/>
      <c r="N70" s="60"/>
      <c r="P70" s="60"/>
      <c r="Q70" s="29"/>
    </row>
    <row r="71" spans="1:17" s="61" customFormat="1" x14ac:dyDescent="0.2">
      <c r="A71" s="25"/>
      <c r="B71" s="25"/>
      <c r="E71" s="59"/>
      <c r="F71" s="60"/>
      <c r="G71" s="59"/>
      <c r="H71" s="60"/>
      <c r="I71" s="59"/>
      <c r="J71" s="60"/>
      <c r="K71" s="59"/>
      <c r="L71" s="60"/>
      <c r="M71" s="59"/>
      <c r="N71" s="60"/>
      <c r="O71" s="59"/>
      <c r="P71" s="60"/>
      <c r="Q71" s="29"/>
    </row>
    <row r="72" spans="1:17" s="61" customFormat="1" x14ac:dyDescent="0.2">
      <c r="A72" s="25"/>
      <c r="B72" s="25"/>
      <c r="E72" s="59"/>
      <c r="F72" s="60"/>
      <c r="G72" s="59"/>
      <c r="H72" s="60"/>
      <c r="I72" s="59"/>
      <c r="J72" s="60"/>
      <c r="K72" s="59"/>
      <c r="L72" s="60"/>
      <c r="M72" s="59"/>
      <c r="N72" s="60"/>
      <c r="O72" s="59"/>
      <c r="P72" s="60"/>
      <c r="Q72" s="29"/>
    </row>
    <row r="73" spans="1:17" s="61" customFormat="1" x14ac:dyDescent="0.2">
      <c r="A73" s="25"/>
      <c r="B73" s="25"/>
      <c r="E73" s="59"/>
      <c r="F73" s="60"/>
      <c r="G73" s="59"/>
      <c r="H73" s="60"/>
      <c r="I73" s="59"/>
      <c r="J73" s="60"/>
      <c r="K73" s="59"/>
      <c r="L73" s="60"/>
      <c r="M73" s="59"/>
      <c r="N73" s="60"/>
      <c r="O73" s="59"/>
      <c r="P73" s="60"/>
      <c r="Q73" s="29"/>
    </row>
    <row r="74" spans="1:17" s="61" customFormat="1" x14ac:dyDescent="0.2">
      <c r="A74" s="25"/>
      <c r="B74" s="25"/>
      <c r="E74" s="59"/>
      <c r="F74" s="60"/>
      <c r="G74" s="59"/>
      <c r="H74" s="60"/>
      <c r="I74" s="59"/>
      <c r="J74" s="60"/>
      <c r="K74" s="59"/>
      <c r="L74" s="60"/>
      <c r="M74" s="59"/>
      <c r="N74" s="60"/>
      <c r="O74" s="59"/>
      <c r="P74" s="60"/>
      <c r="Q74" s="29"/>
    </row>
    <row r="75" spans="1:17" s="61" customFormat="1" x14ac:dyDescent="0.2">
      <c r="A75" s="25"/>
      <c r="B75" s="25"/>
      <c r="E75" s="59"/>
      <c r="F75" s="60"/>
      <c r="G75" s="59"/>
      <c r="H75" s="60"/>
      <c r="I75" s="59"/>
      <c r="J75" s="60"/>
      <c r="K75" s="59"/>
      <c r="L75" s="60"/>
      <c r="M75" s="59"/>
      <c r="N75" s="60"/>
      <c r="O75" s="59"/>
      <c r="P75" s="60"/>
      <c r="Q75" s="29"/>
    </row>
    <row r="76" spans="1:17" s="61" customFormat="1" x14ac:dyDescent="0.2">
      <c r="A76" s="25"/>
      <c r="B76" s="25"/>
      <c r="E76" s="59"/>
      <c r="F76" s="60"/>
      <c r="G76" s="59"/>
      <c r="H76" s="60"/>
      <c r="I76" s="59"/>
      <c r="J76" s="60"/>
      <c r="K76" s="59"/>
      <c r="L76" s="60"/>
      <c r="M76" s="59"/>
      <c r="N76" s="60"/>
      <c r="O76" s="59"/>
      <c r="P76" s="60"/>
      <c r="Q76" s="29"/>
    </row>
    <row r="77" spans="1:17" s="61" customFormat="1" x14ac:dyDescent="0.2">
      <c r="A77" s="25"/>
      <c r="B77" s="25"/>
      <c r="E77" s="59"/>
      <c r="F77" s="60"/>
      <c r="G77" s="59"/>
      <c r="H77" s="60"/>
      <c r="I77" s="59"/>
      <c r="J77" s="60"/>
      <c r="K77" s="59"/>
      <c r="L77" s="60"/>
      <c r="M77" s="59"/>
      <c r="N77" s="60"/>
      <c r="O77" s="59"/>
      <c r="P77" s="60"/>
      <c r="Q77" s="29"/>
    </row>
    <row r="78" spans="1:17" s="61" customFormat="1" x14ac:dyDescent="0.2">
      <c r="A78" s="25"/>
      <c r="B78" s="25"/>
      <c r="E78" s="59"/>
      <c r="F78" s="60"/>
      <c r="G78" s="59"/>
      <c r="H78" s="60"/>
      <c r="I78" s="59"/>
      <c r="J78" s="60"/>
      <c r="K78" s="59"/>
      <c r="L78" s="60"/>
      <c r="M78" s="59"/>
      <c r="N78" s="60"/>
      <c r="O78" s="59"/>
      <c r="P78" s="60"/>
      <c r="Q78" s="29"/>
    </row>
    <row r="79" spans="1:17" s="61" customFormat="1" x14ac:dyDescent="0.2">
      <c r="A79" s="25"/>
      <c r="B79" s="25"/>
      <c r="E79" s="59"/>
      <c r="F79" s="60"/>
      <c r="G79" s="59"/>
      <c r="H79" s="60"/>
      <c r="I79" s="59"/>
      <c r="J79" s="60"/>
      <c r="K79" s="59"/>
      <c r="L79" s="60"/>
      <c r="M79" s="59"/>
      <c r="N79" s="60"/>
      <c r="O79" s="59"/>
      <c r="P79" s="60"/>
      <c r="Q79" s="29"/>
    </row>
    <row r="80" spans="1:17" s="61" customFormat="1" x14ac:dyDescent="0.2">
      <c r="A80" s="25"/>
      <c r="B80" s="25"/>
      <c r="E80" s="59"/>
      <c r="F80" s="60"/>
      <c r="G80" s="59"/>
      <c r="H80" s="60"/>
      <c r="I80" s="59"/>
      <c r="J80" s="60"/>
      <c r="K80" s="59"/>
      <c r="L80" s="60"/>
      <c r="M80" s="59"/>
      <c r="N80" s="60"/>
      <c r="O80" s="59"/>
      <c r="P80" s="60"/>
      <c r="Q80" s="29"/>
    </row>
    <row r="81" spans="1:17" s="61" customFormat="1" x14ac:dyDescent="0.2">
      <c r="A81" s="25"/>
      <c r="B81" s="25"/>
      <c r="E81" s="59"/>
      <c r="F81" s="60"/>
      <c r="G81" s="59"/>
      <c r="H81" s="60"/>
      <c r="I81" s="59"/>
      <c r="J81" s="60"/>
      <c r="K81" s="59"/>
      <c r="L81" s="60"/>
      <c r="M81" s="59"/>
      <c r="N81" s="60"/>
      <c r="O81" s="59"/>
      <c r="P81" s="60"/>
      <c r="Q81" s="29"/>
    </row>
    <row r="82" spans="1:17" s="61" customFormat="1" x14ac:dyDescent="0.2">
      <c r="A82" s="25"/>
      <c r="B82" s="25"/>
      <c r="E82" s="59"/>
      <c r="F82" s="60"/>
      <c r="G82" s="59"/>
      <c r="H82" s="60"/>
      <c r="I82" s="59"/>
      <c r="J82" s="60"/>
      <c r="K82" s="59"/>
      <c r="L82" s="60"/>
      <c r="M82" s="59"/>
      <c r="N82" s="60"/>
      <c r="O82" s="59"/>
      <c r="P82" s="60"/>
      <c r="Q82" s="29"/>
    </row>
  </sheetData>
  <mergeCells count="2">
    <mergeCell ref="K2:K3"/>
    <mergeCell ref="A29:N29"/>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1"/>
  <dimension ref="A1:Q167"/>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2.85546875" style="60" customWidth="1"/>
    <col min="11" max="11" width="13.7109375" style="59" customWidth="1"/>
    <col min="12" max="12" width="2.85546875" style="60" customWidth="1"/>
    <col min="13" max="13" width="13.7109375" style="59" hidden="1" customWidth="1"/>
    <col min="14" max="14" width="2.85546875" style="60" hidden="1" customWidth="1"/>
    <col min="15" max="15" width="13.7109375" style="59" customWidth="1"/>
    <col min="16" max="16" width="13.85546875" style="60" bestFit="1" customWidth="1"/>
    <col min="17" max="17" width="3.42578125" style="29" customWidth="1"/>
    <col min="18" max="18" width="14.85546875" style="29" bestFit="1" customWidth="1"/>
    <col min="19" max="19" width="14.28515625" style="29" bestFit="1" customWidth="1"/>
    <col min="20"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
      <c r="L4" s="6"/>
      <c r="M4" s="11"/>
      <c r="N4" s="6"/>
    </row>
    <row r="5" spans="1:16" s="4" customFormat="1" ht="15.75" x14ac:dyDescent="0.2">
      <c r="A5" s="1" t="s">
        <v>183</v>
      </c>
      <c r="B5" s="12" t="s">
        <v>1898</v>
      </c>
      <c r="C5" s="12" t="s">
        <v>47</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141"/>
      <c r="D10" s="141"/>
      <c r="E10" s="141"/>
      <c r="I10" s="141"/>
      <c r="K10" s="141"/>
    </row>
    <row r="11" spans="1:16" s="37" customFormat="1" x14ac:dyDescent="0.2">
      <c r="A11" s="35" t="s">
        <v>1899</v>
      </c>
      <c r="B11" s="36"/>
      <c r="C11" s="141"/>
      <c r="D11" s="141"/>
      <c r="E11" s="141"/>
      <c r="I11" s="141"/>
      <c r="K11" s="141"/>
    </row>
    <row r="12" spans="1:16" s="40" customFormat="1" ht="18" hidden="1" customHeight="1" x14ac:dyDescent="0.2">
      <c r="A12" s="41" t="s">
        <v>1900</v>
      </c>
      <c r="B12" s="39"/>
      <c r="C12" s="118"/>
      <c r="D12" s="118"/>
      <c r="E12" s="118"/>
      <c r="I12" s="118"/>
      <c r="K12" s="118"/>
    </row>
    <row r="13" spans="1:16" s="40" customFormat="1" hidden="1" x14ac:dyDescent="0.2">
      <c r="A13" s="41" t="s">
        <v>1901</v>
      </c>
      <c r="B13" s="117"/>
      <c r="C13" s="396">
        <v>0</v>
      </c>
      <c r="D13" s="902"/>
      <c r="E13" s="396">
        <v>0</v>
      </c>
      <c r="F13" s="902"/>
      <c r="I13" s="396"/>
      <c r="K13" s="396"/>
      <c r="M13" s="1118"/>
    </row>
    <row r="14" spans="1:16" s="40" customFormat="1" hidden="1" x14ac:dyDescent="0.2">
      <c r="A14" s="90" t="s">
        <v>1902</v>
      </c>
      <c r="B14" s="39"/>
      <c r="C14" s="1119">
        <v>0</v>
      </c>
      <c r="D14" s="902"/>
      <c r="E14" s="1119">
        <v>0</v>
      </c>
      <c r="F14" s="902"/>
      <c r="I14" s="1119"/>
      <c r="K14" s="1119"/>
      <c r="M14" s="112"/>
    </row>
    <row r="15" spans="1:16" s="40" customFormat="1" hidden="1" x14ac:dyDescent="0.2">
      <c r="A15" s="90" t="s">
        <v>1903</v>
      </c>
      <c r="B15" s="39"/>
      <c r="C15" s="392">
        <v>0</v>
      </c>
      <c r="D15" s="902"/>
      <c r="E15" s="392">
        <v>0</v>
      </c>
      <c r="F15" s="902"/>
      <c r="I15" s="392"/>
      <c r="K15" s="392"/>
      <c r="M15" s="112"/>
    </row>
    <row r="16" spans="1:16" s="40" customFormat="1" hidden="1" x14ac:dyDescent="0.2">
      <c r="A16" s="41" t="s">
        <v>1904</v>
      </c>
      <c r="B16" s="39"/>
      <c r="C16" s="1120">
        <v>0</v>
      </c>
      <c r="D16" s="902"/>
      <c r="E16" s="1120">
        <v>0</v>
      </c>
      <c r="F16" s="902"/>
      <c r="G16" s="1120">
        <v>0</v>
      </c>
      <c r="I16" s="1120">
        <v>0</v>
      </c>
      <c r="K16" s="1120"/>
      <c r="M16" s="625"/>
    </row>
    <row r="17" spans="1:13" s="40" customFormat="1" ht="12.75" hidden="1" customHeight="1" x14ac:dyDescent="0.2">
      <c r="A17" s="41" t="s">
        <v>1905</v>
      </c>
      <c r="B17" s="39"/>
      <c r="C17" s="1120">
        <v>0</v>
      </c>
      <c r="D17" s="902"/>
      <c r="E17" s="1120">
        <v>0</v>
      </c>
      <c r="F17" s="902"/>
      <c r="G17" s="1120">
        <v>0</v>
      </c>
      <c r="I17" s="1120">
        <v>0</v>
      </c>
      <c r="K17" s="1120"/>
      <c r="M17" s="126"/>
    </row>
    <row r="18" spans="1:13" s="40" customFormat="1" hidden="1" x14ac:dyDescent="0.2">
      <c r="A18" s="41" t="s">
        <v>1906</v>
      </c>
      <c r="B18" s="39"/>
      <c r="C18" s="1120">
        <v>0</v>
      </c>
      <c r="D18" s="902"/>
      <c r="E18" s="1120">
        <v>0</v>
      </c>
      <c r="F18" s="902"/>
      <c r="G18" s="1120">
        <v>0</v>
      </c>
      <c r="I18" s="1120">
        <v>0</v>
      </c>
      <c r="K18" s="1120"/>
      <c r="M18" s="393"/>
    </row>
    <row r="19" spans="1:13" s="40" customFormat="1" ht="13.5" hidden="1" customHeight="1" x14ac:dyDescent="0.2">
      <c r="A19" s="41" t="s">
        <v>1907</v>
      </c>
      <c r="B19" s="39"/>
      <c r="C19" s="396">
        <v>0</v>
      </c>
      <c r="D19" s="902"/>
      <c r="E19" s="396">
        <v>0</v>
      </c>
      <c r="F19" s="902"/>
      <c r="G19" s="396">
        <v>0</v>
      </c>
      <c r="I19" s="396">
        <v>0</v>
      </c>
      <c r="K19" s="396"/>
      <c r="M19" s="1121"/>
    </row>
    <row r="20" spans="1:13" s="40" customFormat="1" hidden="1" x14ac:dyDescent="0.2">
      <c r="A20" s="90" t="s">
        <v>1908</v>
      </c>
      <c r="B20" s="39"/>
      <c r="C20" s="1120">
        <v>0</v>
      </c>
      <c r="D20" s="902"/>
      <c r="E20" s="1120">
        <v>0</v>
      </c>
      <c r="F20" s="902"/>
      <c r="G20" s="1120">
        <v>0</v>
      </c>
      <c r="I20" s="1120">
        <v>0</v>
      </c>
      <c r="K20" s="1120"/>
      <c r="M20" s="76"/>
    </row>
    <row r="21" spans="1:13" s="40" customFormat="1" hidden="1" x14ac:dyDescent="0.2">
      <c r="A21" s="90" t="s">
        <v>1909</v>
      </c>
      <c r="B21" s="39"/>
      <c r="C21" s="1120">
        <v>0</v>
      </c>
      <c r="D21" s="902"/>
      <c r="E21" s="1120">
        <v>0</v>
      </c>
      <c r="F21" s="902"/>
      <c r="G21" s="1120">
        <v>0</v>
      </c>
      <c r="I21" s="1120">
        <v>0</v>
      </c>
      <c r="K21" s="1120"/>
      <c r="M21" s="97"/>
    </row>
    <row r="22" spans="1:13" s="40" customFormat="1" hidden="1" x14ac:dyDescent="0.2">
      <c r="A22" s="90" t="s">
        <v>1910</v>
      </c>
      <c r="B22" s="39"/>
      <c r="C22" s="1120">
        <v>0</v>
      </c>
      <c r="D22" s="902"/>
      <c r="E22" s="1120">
        <v>0</v>
      </c>
      <c r="F22" s="902"/>
      <c r="G22" s="1120">
        <v>0</v>
      </c>
      <c r="I22" s="1120">
        <v>0</v>
      </c>
      <c r="K22" s="1120"/>
      <c r="M22" s="76"/>
    </row>
    <row r="23" spans="1:13" s="40" customFormat="1" hidden="1" x14ac:dyDescent="0.2">
      <c r="A23" s="90" t="s">
        <v>1911</v>
      </c>
      <c r="B23" s="39"/>
      <c r="C23" s="1120">
        <v>0</v>
      </c>
      <c r="D23" s="902"/>
      <c r="E23" s="1120">
        <v>0</v>
      </c>
      <c r="F23" s="902"/>
      <c r="G23" s="1120">
        <v>0</v>
      </c>
      <c r="I23" s="1120">
        <v>0</v>
      </c>
      <c r="K23" s="1120"/>
      <c r="M23" s="97"/>
    </row>
    <row r="24" spans="1:13" s="40" customFormat="1" ht="12.75" customHeight="1" x14ac:dyDescent="0.2">
      <c r="A24" s="144" t="s">
        <v>1912</v>
      </c>
      <c r="B24" s="39"/>
      <c r="C24" s="392">
        <v>564</v>
      </c>
      <c r="D24" s="902"/>
      <c r="E24" s="392">
        <v>544</v>
      </c>
      <c r="F24" s="902"/>
      <c r="G24" s="1122">
        <v>650</v>
      </c>
      <c r="I24" s="392">
        <v>650</v>
      </c>
      <c r="K24" s="392">
        <v>650</v>
      </c>
      <c r="M24" s="112"/>
    </row>
    <row r="25" spans="1:13" s="40" customFormat="1" ht="12.75" customHeight="1" x14ac:dyDescent="0.2">
      <c r="A25" s="144" t="s">
        <v>1913</v>
      </c>
      <c r="B25" s="39"/>
      <c r="C25" s="396">
        <v>594500</v>
      </c>
      <c r="D25" s="902"/>
      <c r="E25" s="396">
        <v>543500</v>
      </c>
      <c r="F25" s="902"/>
      <c r="G25" s="276">
        <v>945000</v>
      </c>
      <c r="I25" s="396">
        <v>945000</v>
      </c>
      <c r="K25" s="396">
        <v>945000</v>
      </c>
      <c r="M25" s="126"/>
    </row>
    <row r="26" spans="1:13" s="40" customFormat="1" ht="12.75" customHeight="1" x14ac:dyDescent="0.2">
      <c r="A26" s="144" t="s">
        <v>1914</v>
      </c>
      <c r="B26" s="39"/>
      <c r="C26" s="392">
        <v>95</v>
      </c>
      <c r="D26" s="1119"/>
      <c r="E26" s="392">
        <v>97</v>
      </c>
      <c r="F26" s="902"/>
      <c r="G26" s="1122">
        <v>84</v>
      </c>
      <c r="I26" s="392">
        <v>84</v>
      </c>
      <c r="K26" s="392">
        <v>84</v>
      </c>
      <c r="M26" s="112"/>
    </row>
    <row r="27" spans="1:13" s="40" customFormat="1" ht="12.75" customHeight="1" x14ac:dyDescent="0.2">
      <c r="A27" s="144" t="s">
        <v>1915</v>
      </c>
      <c r="B27" s="39"/>
      <c r="C27" s="396">
        <v>202000</v>
      </c>
      <c r="D27" s="1125"/>
      <c r="E27" s="396">
        <v>202000</v>
      </c>
      <c r="F27" s="902"/>
      <c r="G27" s="276">
        <v>202000</v>
      </c>
      <c r="I27" s="396">
        <v>202000</v>
      </c>
      <c r="K27" s="396">
        <v>202000</v>
      </c>
      <c r="M27" s="126"/>
    </row>
    <row r="28" spans="1:13" s="40" customFormat="1" ht="12.75" hidden="1" customHeight="1" x14ac:dyDescent="0.2">
      <c r="A28" s="144" t="s">
        <v>1916</v>
      </c>
      <c r="B28" s="39"/>
      <c r="C28" s="392">
        <v>0</v>
      </c>
      <c r="D28" s="902"/>
      <c r="E28" s="392">
        <v>0</v>
      </c>
      <c r="F28" s="902"/>
      <c r="G28" s="566"/>
      <c r="I28" s="392"/>
      <c r="K28" s="392"/>
      <c r="M28" s="112"/>
    </row>
    <row r="29" spans="1:13" s="40" customFormat="1" hidden="1" x14ac:dyDescent="0.2">
      <c r="A29" s="144" t="s">
        <v>1917</v>
      </c>
      <c r="B29" s="39"/>
      <c r="C29" s="396">
        <v>0</v>
      </c>
      <c r="D29" s="902"/>
      <c r="E29" s="396">
        <v>0</v>
      </c>
      <c r="F29" s="902"/>
      <c r="G29" s="566"/>
      <c r="I29" s="396"/>
      <c r="K29" s="396"/>
      <c r="M29" s="126"/>
    </row>
    <row r="30" spans="1:13" s="40" customFormat="1" ht="12.75" hidden="1" customHeight="1" x14ac:dyDescent="0.2">
      <c r="A30" s="144" t="s">
        <v>1918</v>
      </c>
      <c r="B30" s="39"/>
      <c r="C30" s="902"/>
      <c r="D30" s="902"/>
      <c r="E30" s="902"/>
      <c r="F30" s="902"/>
      <c r="G30" s="566"/>
      <c r="I30" s="902"/>
      <c r="K30" s="902"/>
      <c r="M30" s="126"/>
    </row>
    <row r="31" spans="1:13" s="40" customFormat="1" ht="12.75" hidden="1" customHeight="1" x14ac:dyDescent="0.2">
      <c r="A31" s="144" t="s">
        <v>1919</v>
      </c>
      <c r="B31" s="39"/>
      <c r="C31" s="902"/>
      <c r="D31" s="902"/>
      <c r="E31" s="902"/>
      <c r="F31" s="902"/>
      <c r="G31" s="566"/>
      <c r="I31" s="902"/>
      <c r="K31" s="902"/>
      <c r="M31" s="112"/>
    </row>
    <row r="32" spans="1:13" s="40" customFormat="1" ht="12.75" hidden="1" customHeight="1" x14ac:dyDescent="0.25">
      <c r="A32" s="1126" t="s">
        <v>1920</v>
      </c>
      <c r="B32" s="39"/>
      <c r="C32" s="902"/>
      <c r="D32" s="902"/>
      <c r="E32" s="902"/>
      <c r="F32" s="902"/>
      <c r="G32" s="566"/>
      <c r="I32" s="902"/>
      <c r="K32" s="902"/>
      <c r="M32" s="126"/>
    </row>
    <row r="33" spans="1:13" s="40" customFormat="1" x14ac:dyDescent="0.2">
      <c r="A33" s="144" t="s">
        <v>1921</v>
      </c>
      <c r="B33" s="39"/>
      <c r="C33" s="392">
        <v>5</v>
      </c>
      <c r="D33" s="1127"/>
      <c r="E33" s="392">
        <v>4</v>
      </c>
      <c r="F33" s="902"/>
      <c r="G33" s="1122">
        <v>5</v>
      </c>
      <c r="I33" s="392">
        <v>4</v>
      </c>
      <c r="K33" s="392">
        <v>4</v>
      </c>
      <c r="M33" s="120"/>
    </row>
    <row r="34" spans="1:13" s="40" customFormat="1" x14ac:dyDescent="0.2">
      <c r="A34" s="144" t="s">
        <v>1922</v>
      </c>
      <c r="B34" s="39"/>
      <c r="C34" s="396">
        <v>49448</v>
      </c>
      <c r="D34" s="902"/>
      <c r="E34" s="396">
        <v>36503</v>
      </c>
      <c r="F34" s="902"/>
      <c r="G34" s="1124">
        <v>45000</v>
      </c>
      <c r="I34" s="396">
        <v>37651</v>
      </c>
      <c r="K34" s="396">
        <v>41411</v>
      </c>
      <c r="M34" s="126"/>
    </row>
    <row r="35" spans="1:13" s="40" customFormat="1" ht="12.75" customHeight="1" x14ac:dyDescent="0.2">
      <c r="A35" s="144" t="s">
        <v>1923</v>
      </c>
      <c r="B35" s="39"/>
      <c r="C35" s="902"/>
      <c r="D35" s="902"/>
      <c r="E35" s="902"/>
      <c r="F35" s="902"/>
      <c r="G35" s="566"/>
      <c r="I35" s="902"/>
      <c r="K35" s="902"/>
      <c r="M35" s="695"/>
    </row>
    <row r="36" spans="1:13" s="40" customFormat="1" ht="12.75" customHeight="1" x14ac:dyDescent="0.2">
      <c r="A36" s="150" t="s">
        <v>1924</v>
      </c>
      <c r="B36" s="39"/>
      <c r="C36" s="392">
        <v>489</v>
      </c>
      <c r="D36" s="1127"/>
      <c r="E36" s="392">
        <v>457</v>
      </c>
      <c r="F36" s="902"/>
      <c r="G36" s="1122">
        <v>600</v>
      </c>
      <c r="I36" s="392">
        <v>600</v>
      </c>
      <c r="K36" s="392">
        <v>600</v>
      </c>
      <c r="M36" s="112"/>
    </row>
    <row r="37" spans="1:13" s="40" customFormat="1" x14ac:dyDescent="0.2">
      <c r="A37" s="144" t="s">
        <v>1923</v>
      </c>
      <c r="B37" s="39"/>
      <c r="C37" s="1128"/>
      <c r="D37" s="902"/>
      <c r="E37" s="1128"/>
      <c r="F37" s="902"/>
      <c r="G37" s="566"/>
      <c r="I37" s="1128"/>
      <c r="K37" s="1128"/>
      <c r="M37" s="112"/>
    </row>
    <row r="38" spans="1:13" s="40" customFormat="1" ht="12.75" customHeight="1" x14ac:dyDescent="0.2">
      <c r="A38" s="150" t="s">
        <v>1925</v>
      </c>
      <c r="B38" s="39"/>
      <c r="C38" s="396">
        <v>462997</v>
      </c>
      <c r="D38" s="902"/>
      <c r="E38" s="396">
        <v>418659</v>
      </c>
      <c r="F38" s="902"/>
      <c r="G38" s="276">
        <v>558000</v>
      </c>
      <c r="I38" s="396">
        <v>558000</v>
      </c>
      <c r="K38" s="396">
        <v>558000</v>
      </c>
      <c r="M38" s="126"/>
    </row>
    <row r="39" spans="1:13" s="40" customFormat="1" ht="13.5" customHeight="1" x14ac:dyDescent="0.2">
      <c r="A39" s="144" t="s">
        <v>1926</v>
      </c>
      <c r="B39" s="39"/>
      <c r="C39" s="392">
        <v>8353</v>
      </c>
      <c r="D39" s="902"/>
      <c r="E39" s="392">
        <v>7863</v>
      </c>
      <c r="F39" s="902"/>
      <c r="G39" s="1122">
        <v>8216</v>
      </c>
      <c r="I39" s="392">
        <v>8216</v>
      </c>
      <c r="K39" s="392">
        <v>8216</v>
      </c>
      <c r="M39" s="1130"/>
    </row>
    <row r="40" spans="1:13" s="40" customFormat="1" x14ac:dyDescent="0.2">
      <c r="A40" s="144" t="s">
        <v>1927</v>
      </c>
      <c r="B40" s="39"/>
      <c r="C40" s="396">
        <v>7360749</v>
      </c>
      <c r="D40" s="1131"/>
      <c r="E40" s="396">
        <v>7098977</v>
      </c>
      <c r="F40" s="902"/>
      <c r="G40" s="276">
        <v>8737000</v>
      </c>
      <c r="I40" s="396">
        <v>8737000</v>
      </c>
      <c r="K40" s="396">
        <v>8737000</v>
      </c>
      <c r="M40" s="1132"/>
    </row>
    <row r="41" spans="1:13" s="40" customFormat="1" x14ac:dyDescent="0.2">
      <c r="A41" s="144" t="s">
        <v>1928</v>
      </c>
      <c r="B41" s="39"/>
      <c r="C41" s="392">
        <f>C43+C45+C47+C49</f>
        <v>61414</v>
      </c>
      <c r="D41" s="392"/>
      <c r="E41" s="392">
        <f>E43+E45+E47+E49</f>
        <v>60641</v>
      </c>
      <c r="F41" s="902"/>
      <c r="G41" s="392">
        <f>G43+G45+G47+G49</f>
        <v>68048</v>
      </c>
      <c r="I41" s="392">
        <f>I43+I45+I47+I49</f>
        <v>64885</v>
      </c>
      <c r="J41" s="1123"/>
      <c r="K41" s="392">
        <f>K43+K45+K47+K49</f>
        <v>68122</v>
      </c>
      <c r="M41" s="112"/>
    </row>
    <row r="42" spans="1:13" s="40" customFormat="1" x14ac:dyDescent="0.2">
      <c r="A42" s="144" t="s">
        <v>1929</v>
      </c>
      <c r="B42" s="39"/>
      <c r="C42" s="396">
        <f>C44+C46+C48+C50</f>
        <v>368073155</v>
      </c>
      <c r="D42" s="396"/>
      <c r="E42" s="396">
        <f>E44+E46+E48+E50</f>
        <v>375809014</v>
      </c>
      <c r="F42" s="902"/>
      <c r="G42" s="396">
        <f>G44+G46+G48+G50</f>
        <v>419917000</v>
      </c>
      <c r="I42" s="396">
        <f>I44+I46+I48+I50</f>
        <v>414417000</v>
      </c>
      <c r="J42" s="1123"/>
      <c r="K42" s="396">
        <f>K44+K46+K48+K50</f>
        <v>432859000</v>
      </c>
      <c r="M42" s="126"/>
    </row>
    <row r="43" spans="1:13" s="40" customFormat="1" x14ac:dyDescent="0.2">
      <c r="A43" s="150" t="s">
        <v>1930</v>
      </c>
      <c r="B43" s="39"/>
      <c r="C43" s="392">
        <v>14655</v>
      </c>
      <c r="D43" s="902"/>
      <c r="E43" s="392">
        <v>13141</v>
      </c>
      <c r="F43" s="902"/>
      <c r="G43" s="392">
        <v>16928</v>
      </c>
      <c r="I43" s="392">
        <v>13237</v>
      </c>
      <c r="J43" s="1123"/>
      <c r="K43" s="392">
        <v>14517</v>
      </c>
      <c r="M43" s="112"/>
    </row>
    <row r="44" spans="1:13" s="40" customFormat="1" x14ac:dyDescent="0.2">
      <c r="A44" s="150" t="s">
        <v>1931</v>
      </c>
      <c r="B44" s="39"/>
      <c r="C44" s="396">
        <v>32481893</v>
      </c>
      <c r="D44" s="902"/>
      <c r="E44" s="396">
        <v>29590916</v>
      </c>
      <c r="F44" s="902"/>
      <c r="G44" s="396">
        <v>39035000</v>
      </c>
      <c r="I44" s="396">
        <v>31214000</v>
      </c>
      <c r="J44" s="1123"/>
      <c r="K44" s="396">
        <v>33621000</v>
      </c>
      <c r="M44" s="126"/>
    </row>
    <row r="45" spans="1:13" s="40" customFormat="1" x14ac:dyDescent="0.2">
      <c r="A45" s="150" t="s">
        <v>1932</v>
      </c>
      <c r="B45" s="39"/>
      <c r="C45" s="392">
        <v>15751</v>
      </c>
      <c r="D45" s="902"/>
      <c r="E45" s="392">
        <v>16175</v>
      </c>
      <c r="F45" s="902"/>
      <c r="G45" s="392">
        <v>17396</v>
      </c>
      <c r="I45" s="392">
        <v>12691</v>
      </c>
      <c r="J45" s="1123"/>
      <c r="K45" s="392">
        <v>13559</v>
      </c>
      <c r="M45" s="112"/>
    </row>
    <row r="46" spans="1:13" s="40" customFormat="1" x14ac:dyDescent="0.2">
      <c r="A46" s="150" t="s">
        <v>1933</v>
      </c>
      <c r="B46" s="39"/>
      <c r="C46" s="1133">
        <v>84674975</v>
      </c>
      <c r="D46" s="902"/>
      <c r="E46" s="1133">
        <v>88860850</v>
      </c>
      <c r="F46" s="902"/>
      <c r="G46" s="1133">
        <v>97310000</v>
      </c>
      <c r="I46" s="1133">
        <v>70926000</v>
      </c>
      <c r="J46" s="1123"/>
      <c r="K46" s="1133">
        <v>74806000</v>
      </c>
      <c r="M46" s="1134"/>
    </row>
    <row r="47" spans="1:13" s="40" customFormat="1" x14ac:dyDescent="0.2">
      <c r="A47" s="150" t="s">
        <v>1934</v>
      </c>
      <c r="B47" s="39"/>
      <c r="C47" s="392">
        <f>2879+14720</f>
        <v>17599</v>
      </c>
      <c r="D47" s="902"/>
      <c r="E47" s="392">
        <v>18297</v>
      </c>
      <c r="F47" s="902"/>
      <c r="G47" s="392">
        <f>3255+16030</f>
        <v>19285</v>
      </c>
      <c r="I47" s="392">
        <f>5660+3493+15921</f>
        <v>25074</v>
      </c>
      <c r="J47" s="1123"/>
      <c r="K47" s="392">
        <f>5970+3709+16446+1</f>
        <v>26126</v>
      </c>
      <c r="M47" s="112"/>
    </row>
    <row r="48" spans="1:13" s="40" customFormat="1" x14ac:dyDescent="0.2">
      <c r="A48" s="150" t="s">
        <v>1935</v>
      </c>
      <c r="B48" s="39"/>
      <c r="C48" s="396">
        <f>16496673+112016472</f>
        <v>128513145</v>
      </c>
      <c r="D48" s="902"/>
      <c r="E48" s="396">
        <v>135287433</v>
      </c>
      <c r="F48" s="902"/>
      <c r="G48" s="396">
        <f>19424000+126907000</f>
        <v>146331000</v>
      </c>
      <c r="I48" s="396">
        <f>31203000+20511000+126721000</f>
        <v>178435000</v>
      </c>
      <c r="J48" s="1123"/>
      <c r="K48" s="396">
        <f>34151000+22842000+130682000</f>
        <v>187675000</v>
      </c>
      <c r="M48" s="126"/>
    </row>
    <row r="49" spans="1:16" s="40" customFormat="1" x14ac:dyDescent="0.2">
      <c r="A49" s="150" t="s">
        <v>1936</v>
      </c>
      <c r="B49" s="39"/>
      <c r="C49" s="392">
        <v>13409</v>
      </c>
      <c r="D49" s="902"/>
      <c r="E49" s="392">
        <v>13028</v>
      </c>
      <c r="F49" s="902"/>
      <c r="G49" s="392">
        <v>14439</v>
      </c>
      <c r="I49" s="392">
        <v>13883</v>
      </c>
      <c r="J49" s="1123"/>
      <c r="K49" s="392">
        <v>13920</v>
      </c>
      <c r="M49" s="77"/>
    </row>
    <row r="50" spans="1:16" s="40" customFormat="1" x14ac:dyDescent="0.2">
      <c r="A50" s="150" t="s">
        <v>1937</v>
      </c>
      <c r="B50" s="39"/>
      <c r="C50" s="396">
        <v>122403142</v>
      </c>
      <c r="D50" s="902"/>
      <c r="E50" s="396">
        <v>122069815</v>
      </c>
      <c r="F50" s="902"/>
      <c r="G50" s="396">
        <v>137241000</v>
      </c>
      <c r="I50" s="396">
        <v>133842000</v>
      </c>
      <c r="J50" s="1123"/>
      <c r="K50" s="396">
        <v>136757000</v>
      </c>
      <c r="M50" s="126"/>
    </row>
    <row r="51" spans="1:16" s="40" customFormat="1" x14ac:dyDescent="0.2">
      <c r="A51" s="144" t="s">
        <v>1938</v>
      </c>
      <c r="B51" s="39"/>
      <c r="C51" s="902"/>
      <c r="D51" s="902"/>
      <c r="E51" s="902"/>
      <c r="F51" s="902"/>
      <c r="G51" s="566"/>
      <c r="I51" s="902"/>
      <c r="J51" s="1123"/>
      <c r="K51" s="902"/>
      <c r="M51" s="112"/>
    </row>
    <row r="52" spans="1:16" s="40" customFormat="1" x14ac:dyDescent="0.2">
      <c r="A52" s="150" t="s">
        <v>1939</v>
      </c>
      <c r="B52" s="39"/>
      <c r="C52" s="1119">
        <f>C55+C57</f>
        <v>2299</v>
      </c>
      <c r="D52" s="1119"/>
      <c r="E52" s="1119">
        <f>E55+E57</f>
        <v>2291</v>
      </c>
      <c r="F52" s="902"/>
      <c r="G52" s="392">
        <f>+G55+G57</f>
        <v>2360</v>
      </c>
      <c r="I52" s="1119">
        <f>I55+I57</f>
        <v>2360</v>
      </c>
      <c r="K52" s="1119">
        <f>K55+K57</f>
        <v>2360</v>
      </c>
      <c r="M52" s="112"/>
    </row>
    <row r="53" spans="1:16" s="40" customFormat="1" x14ac:dyDescent="0.2">
      <c r="A53" s="144" t="s">
        <v>1938</v>
      </c>
      <c r="B53" s="39"/>
      <c r="C53" s="827"/>
      <c r="D53" s="827"/>
      <c r="E53" s="827"/>
      <c r="F53" s="902"/>
      <c r="G53" s="827"/>
      <c r="I53" s="827"/>
      <c r="K53" s="827"/>
      <c r="M53" s="112"/>
    </row>
    <row r="54" spans="1:16" s="40" customFormat="1" x14ac:dyDescent="0.2">
      <c r="A54" s="150" t="s">
        <v>1940</v>
      </c>
      <c r="B54" s="39"/>
      <c r="C54" s="1131">
        <f>C56+C58</f>
        <v>6619624</v>
      </c>
      <c r="D54" s="1131"/>
      <c r="E54" s="1131">
        <f>E56+E58</f>
        <v>6738081</v>
      </c>
      <c r="F54" s="902"/>
      <c r="G54" s="1131">
        <f>G56+G58</f>
        <v>6907000</v>
      </c>
      <c r="I54" s="1131">
        <f>I56+I58</f>
        <v>6907000</v>
      </c>
      <c r="K54" s="1131">
        <f>K56+K58</f>
        <v>6907000</v>
      </c>
      <c r="M54" s="126"/>
    </row>
    <row r="55" spans="1:16" s="40" customFormat="1" x14ac:dyDescent="0.2">
      <c r="A55" s="156" t="s">
        <v>1941</v>
      </c>
      <c r="B55" s="39"/>
      <c r="C55" s="392">
        <v>1510</v>
      </c>
      <c r="D55" s="902"/>
      <c r="E55" s="392">
        <v>1547</v>
      </c>
      <c r="F55" s="902"/>
      <c r="G55" s="392">
        <v>1580</v>
      </c>
      <c r="I55" s="392">
        <v>1580</v>
      </c>
      <c r="K55" s="392">
        <v>1580</v>
      </c>
      <c r="M55" s="112"/>
    </row>
    <row r="56" spans="1:16" s="40" customFormat="1" x14ac:dyDescent="0.2">
      <c r="A56" s="156" t="s">
        <v>1942</v>
      </c>
      <c r="B56" s="39"/>
      <c r="C56" s="396">
        <v>4716680</v>
      </c>
      <c r="D56" s="902"/>
      <c r="E56" s="396">
        <v>4942259</v>
      </c>
      <c r="F56" s="902"/>
      <c r="G56" s="1124">
        <f>6907000-G58</f>
        <v>4957000</v>
      </c>
      <c r="I56" s="396">
        <v>4957000</v>
      </c>
      <c r="K56" s="396">
        <v>4957000</v>
      </c>
      <c r="M56" s="126"/>
    </row>
    <row r="57" spans="1:16" s="40" customFormat="1" x14ac:dyDescent="0.2">
      <c r="A57" s="156" t="s">
        <v>1943</v>
      </c>
      <c r="B57" s="39"/>
      <c r="C57" s="392">
        <v>789</v>
      </c>
      <c r="D57" s="902"/>
      <c r="E57" s="392">
        <v>744</v>
      </c>
      <c r="F57" s="902"/>
      <c r="G57" s="392">
        <v>780</v>
      </c>
      <c r="I57" s="392">
        <v>780</v>
      </c>
      <c r="K57" s="392">
        <v>780</v>
      </c>
      <c r="M57" s="112"/>
    </row>
    <row r="58" spans="1:16" s="48" customFormat="1" x14ac:dyDescent="0.2">
      <c r="A58" s="156" t="s">
        <v>1944</v>
      </c>
      <c r="B58" s="39"/>
      <c r="C58" s="396">
        <v>1902944</v>
      </c>
      <c r="D58" s="1135"/>
      <c r="E58" s="396">
        <v>1795822</v>
      </c>
      <c r="F58" s="1135"/>
      <c r="G58" s="1124">
        <f>780*2500</f>
        <v>1950000</v>
      </c>
      <c r="H58" s="280"/>
      <c r="I58" s="396">
        <v>1950000</v>
      </c>
      <c r="J58" s="280"/>
      <c r="K58" s="396">
        <v>1950000</v>
      </c>
      <c r="M58" s="126"/>
      <c r="O58" s="1136"/>
      <c r="P58" s="52"/>
    </row>
    <row r="59" spans="1:16" s="40" customFormat="1" hidden="1" x14ac:dyDescent="0.2">
      <c r="A59" s="144" t="s">
        <v>1945</v>
      </c>
      <c r="B59" s="39"/>
      <c r="C59" s="392">
        <v>0</v>
      </c>
      <c r="D59" s="902"/>
      <c r="E59" s="392"/>
      <c r="F59" s="902"/>
      <c r="G59" s="566"/>
      <c r="I59" s="392"/>
      <c r="K59" s="392"/>
      <c r="M59" s="1137"/>
    </row>
    <row r="60" spans="1:16" s="40" customFormat="1" hidden="1" x14ac:dyDescent="0.2">
      <c r="A60" s="144" t="s">
        <v>1946</v>
      </c>
      <c r="B60" s="1138"/>
      <c r="C60" s="396">
        <v>0</v>
      </c>
      <c r="D60" s="902"/>
      <c r="E60" s="396"/>
      <c r="F60" s="902"/>
      <c r="G60" s="566"/>
      <c r="I60" s="396"/>
      <c r="K60" s="396"/>
      <c r="M60" s="1132"/>
    </row>
    <row r="61" spans="1:16" s="40" customFormat="1" x14ac:dyDescent="0.2">
      <c r="A61" s="144" t="s">
        <v>1947</v>
      </c>
      <c r="B61" s="39"/>
      <c r="C61" s="1139">
        <f>C18+C26+C28+C31+C33+C39+C41+C52+C24</f>
        <v>72730</v>
      </c>
      <c r="D61" s="1139"/>
      <c r="E61" s="1139">
        <f>E18+E26+E28+E31+E33+E39+E41+E52+E24</f>
        <v>71440</v>
      </c>
      <c r="F61" s="902"/>
      <c r="G61" s="164">
        <f>G18+G26+G28+G31+G33+G39+G41+G52+G24</f>
        <v>79363</v>
      </c>
      <c r="I61" s="1139">
        <f>I18+I26+I28+I31+I33+I39+I41+I52+I24</f>
        <v>76199</v>
      </c>
      <c r="K61" s="1139">
        <f>K18+K26+K28+K31+K33+K39+K41+K52+K24</f>
        <v>79436</v>
      </c>
      <c r="M61" s="112"/>
    </row>
    <row r="62" spans="1:16" s="40" customFormat="1" x14ac:dyDescent="0.2">
      <c r="A62" s="41" t="s">
        <v>1948</v>
      </c>
      <c r="B62" s="39"/>
      <c r="C62" s="1140">
        <f>C17+C19+C25+C27+C34+C40+C42+C54</f>
        <v>382899476</v>
      </c>
      <c r="D62" s="1140"/>
      <c r="E62" s="1140">
        <f>E17+E19+E25+E27+E34+E40+E42+E54</f>
        <v>390428075</v>
      </c>
      <c r="F62" s="902"/>
      <c r="G62" s="1141">
        <f>G19+G27+G29+G32+G34 +G40+G42+G54+G25</f>
        <v>436753000</v>
      </c>
      <c r="I62" s="1140">
        <f>I17+I19+I25+I27+I34+I40+I42+I54</f>
        <v>431245651</v>
      </c>
      <c r="K62" s="1140">
        <f>K17+K19+K25+K27+K34+K40+K42+K54</f>
        <v>449691411</v>
      </c>
      <c r="M62" s="126"/>
    </row>
    <row r="63" spans="1:16" s="40" customFormat="1" x14ac:dyDescent="0.2">
      <c r="A63" s="41" t="s">
        <v>1949</v>
      </c>
      <c r="B63" s="39"/>
      <c r="C63" s="392">
        <v>8</v>
      </c>
      <c r="D63" s="902"/>
      <c r="E63" s="392">
        <v>9</v>
      </c>
      <c r="F63" s="902"/>
      <c r="G63" s="1122">
        <v>8</v>
      </c>
      <c r="I63" s="392">
        <v>10</v>
      </c>
      <c r="K63" s="392">
        <v>7</v>
      </c>
      <c r="M63" s="159"/>
    </row>
    <row r="64" spans="1:16" s="40" customFormat="1" x14ac:dyDescent="0.2">
      <c r="A64" s="41" t="s">
        <v>1950</v>
      </c>
      <c r="B64" s="39"/>
      <c r="C64" s="396">
        <v>171376</v>
      </c>
      <c r="D64" s="902"/>
      <c r="E64" s="396">
        <v>210996</v>
      </c>
      <c r="F64" s="902"/>
      <c r="G64" s="1124">
        <v>215000</v>
      </c>
      <c r="I64" s="396">
        <v>276474</v>
      </c>
      <c r="K64" s="396">
        <v>173065</v>
      </c>
      <c r="M64" s="202"/>
    </row>
    <row r="65" spans="1:13" s="40" customFormat="1" x14ac:dyDescent="0.2">
      <c r="A65" s="41" t="s">
        <v>1951</v>
      </c>
      <c r="B65" s="39"/>
      <c r="C65" s="392">
        <v>335873</v>
      </c>
      <c r="D65" s="902"/>
      <c r="E65" s="392">
        <v>347743</v>
      </c>
      <c r="F65" s="902"/>
      <c r="G65" s="104">
        <v>357730</v>
      </c>
      <c r="I65" s="392">
        <v>350518</v>
      </c>
      <c r="K65" s="392">
        <v>354018.00000000023</v>
      </c>
      <c r="M65" s="78"/>
    </row>
    <row r="66" spans="1:13" s="40" customFormat="1" x14ac:dyDescent="0.2">
      <c r="A66" s="41" t="s">
        <v>1952</v>
      </c>
      <c r="B66" s="39"/>
      <c r="C66" s="396">
        <v>4819486558</v>
      </c>
      <c r="D66" s="902"/>
      <c r="E66" s="396">
        <v>5221182631</v>
      </c>
      <c r="F66" s="902"/>
      <c r="G66" s="276">
        <v>5280750781</v>
      </c>
      <c r="I66" s="396">
        <v>5562629358</v>
      </c>
      <c r="K66" s="396">
        <v>5668350279.1180553</v>
      </c>
      <c r="M66" s="202"/>
    </row>
    <row r="67" spans="1:13" s="40" customFormat="1" x14ac:dyDescent="0.2">
      <c r="A67" s="90" t="s">
        <v>1953</v>
      </c>
      <c r="B67" s="39"/>
      <c r="C67" s="392">
        <v>513</v>
      </c>
      <c r="D67" s="902"/>
      <c r="E67" s="392">
        <v>575</v>
      </c>
      <c r="F67" s="902"/>
      <c r="G67" s="104">
        <v>650</v>
      </c>
      <c r="I67" s="392">
        <v>644.49317738791422</v>
      </c>
      <c r="K67" s="392">
        <v>722.38514034707737</v>
      </c>
      <c r="M67" s="77"/>
    </row>
    <row r="68" spans="1:13" s="40" customFormat="1" x14ac:dyDescent="0.2">
      <c r="A68" s="90" t="s">
        <v>1954</v>
      </c>
      <c r="B68" s="39"/>
      <c r="C68" s="396">
        <v>625750</v>
      </c>
      <c r="D68" s="902"/>
      <c r="E68" s="396">
        <v>711500</v>
      </c>
      <c r="F68" s="902"/>
      <c r="G68" s="276">
        <v>700000</v>
      </c>
      <c r="I68" s="396">
        <v>809000.7990411506</v>
      </c>
      <c r="K68" s="396">
        <v>919862.67441914289</v>
      </c>
      <c r="M68" s="97"/>
    </row>
    <row r="69" spans="1:13" s="40" customFormat="1" x14ac:dyDescent="0.2">
      <c r="A69" s="41" t="s">
        <v>1955</v>
      </c>
      <c r="B69" s="39"/>
      <c r="C69" s="902"/>
      <c r="D69" s="902"/>
      <c r="E69" s="902"/>
      <c r="F69" s="902"/>
      <c r="G69" s="106"/>
      <c r="I69" s="902"/>
      <c r="K69" s="902"/>
      <c r="M69" s="97"/>
    </row>
    <row r="70" spans="1:13" s="40" customFormat="1" x14ac:dyDescent="0.2">
      <c r="A70" s="90" t="s">
        <v>1956</v>
      </c>
      <c r="B70" s="39"/>
      <c r="C70" s="1122">
        <f>117489+80558</f>
        <v>198047</v>
      </c>
      <c r="D70" s="902"/>
      <c r="E70" s="1122">
        <v>168609</v>
      </c>
      <c r="F70" s="902"/>
      <c r="G70" s="104">
        <f>+(((E70-C70)/C70)*E70)+E70</f>
        <v>143546.708008705</v>
      </c>
      <c r="I70" s="1122">
        <v>143547</v>
      </c>
      <c r="K70" s="1122">
        <v>138256</v>
      </c>
      <c r="M70" s="77"/>
    </row>
    <row r="71" spans="1:13" s="40" customFormat="1" x14ac:dyDescent="0.2">
      <c r="A71" s="90" t="s">
        <v>1957</v>
      </c>
      <c r="B71" s="39"/>
      <c r="C71" s="209">
        <f>293394762+379208029</f>
        <v>672602791</v>
      </c>
      <c r="D71" s="902"/>
      <c r="E71" s="209">
        <v>574327290</v>
      </c>
      <c r="F71" s="902"/>
      <c r="G71" s="276">
        <f>+(((E71-C71)/C71)*E71)+E71</f>
        <v>490411042.67250073</v>
      </c>
      <c r="I71" s="209">
        <v>490411316</v>
      </c>
      <c r="K71" s="209">
        <v>472279653</v>
      </c>
      <c r="M71" s="202"/>
    </row>
    <row r="72" spans="1:13" s="40" customFormat="1" x14ac:dyDescent="0.2">
      <c r="A72" s="41" t="s">
        <v>1958</v>
      </c>
      <c r="B72" s="39"/>
      <c r="C72" s="1142"/>
      <c r="D72" s="902"/>
      <c r="E72" s="1142"/>
      <c r="F72" s="902"/>
      <c r="G72" s="995"/>
      <c r="I72" s="1142"/>
      <c r="K72" s="1142"/>
      <c r="M72" s="202"/>
    </row>
    <row r="73" spans="1:13" s="40" customFormat="1" x14ac:dyDescent="0.2">
      <c r="A73" s="90" t="s">
        <v>1956</v>
      </c>
      <c r="B73" s="39"/>
      <c r="C73" s="1122">
        <f>403+7215+185</f>
        <v>7803</v>
      </c>
      <c r="D73" s="902"/>
      <c r="E73" s="1122">
        <v>5734</v>
      </c>
      <c r="F73" s="902"/>
      <c r="G73" s="104">
        <f>+(((E73-C73)/C73)*E73)+E73</f>
        <v>4213.6045110854802</v>
      </c>
      <c r="I73" s="1122">
        <v>4220</v>
      </c>
      <c r="K73" s="1122">
        <v>3900</v>
      </c>
      <c r="M73" s="78"/>
    </row>
    <row r="74" spans="1:13" s="40" customFormat="1" x14ac:dyDescent="0.2">
      <c r="A74" s="90" t="s">
        <v>1957</v>
      </c>
      <c r="B74" s="39"/>
      <c r="C74" s="209">
        <f>4936427+70567440+604141</f>
        <v>76108008</v>
      </c>
      <c r="D74" s="1143"/>
      <c r="E74" s="209">
        <v>56228645</v>
      </c>
      <c r="F74" s="902"/>
      <c r="G74" s="276">
        <f>+(((E74-C74)/C74)*E74)+E74</f>
        <v>41541758.89790763</v>
      </c>
      <c r="I74" s="209">
        <v>41589280</v>
      </c>
      <c r="K74" s="209">
        <v>38620126</v>
      </c>
      <c r="M74" s="202"/>
    </row>
    <row r="75" spans="1:13" s="40" customFormat="1" x14ac:dyDescent="0.2">
      <c r="A75" s="41" t="s">
        <v>1959</v>
      </c>
      <c r="B75" s="39"/>
      <c r="C75" s="1142"/>
      <c r="D75" s="902"/>
      <c r="E75" s="1142"/>
      <c r="F75" s="902"/>
      <c r="G75" s="276"/>
      <c r="I75" s="1142"/>
      <c r="K75" s="1142"/>
      <c r="M75" s="202"/>
    </row>
    <row r="76" spans="1:13" s="40" customFormat="1" x14ac:dyDescent="0.2">
      <c r="A76" s="90" t="s">
        <v>1956</v>
      </c>
      <c r="B76" s="39"/>
      <c r="C76" s="1122">
        <v>40602</v>
      </c>
      <c r="D76" s="902"/>
      <c r="E76" s="1122">
        <v>35997</v>
      </c>
      <c r="F76" s="902"/>
      <c r="G76" s="104">
        <f>+(((E76-C76)/C76)*E76)+E76</f>
        <v>31914.29015812029</v>
      </c>
      <c r="I76" s="1122">
        <v>31914</v>
      </c>
      <c r="K76" s="1122">
        <v>30971</v>
      </c>
      <c r="M76" s="78"/>
    </row>
    <row r="77" spans="1:13" s="40" customFormat="1" x14ac:dyDescent="0.2">
      <c r="A77" s="90" t="s">
        <v>1957</v>
      </c>
      <c r="B77" s="39"/>
      <c r="C77" s="396">
        <v>1048235653</v>
      </c>
      <c r="D77" s="902"/>
      <c r="E77" s="396">
        <v>960883341</v>
      </c>
      <c r="F77" s="902"/>
      <c r="G77" s="276">
        <f>+(((E77-C77)/C77)*E77)+E77</f>
        <v>880810333.41013658</v>
      </c>
      <c r="I77" s="396">
        <v>880810333</v>
      </c>
      <c r="K77" s="396">
        <v>861456423</v>
      </c>
      <c r="M77" s="202"/>
    </row>
    <row r="78" spans="1:13" s="40" customFormat="1" x14ac:dyDescent="0.2">
      <c r="A78" s="41" t="s">
        <v>1960</v>
      </c>
      <c r="B78" s="39"/>
      <c r="C78" s="902"/>
      <c r="D78" s="902"/>
      <c r="E78" s="902"/>
      <c r="F78" s="902"/>
      <c r="G78" s="79"/>
      <c r="I78" s="902"/>
      <c r="K78" s="902"/>
      <c r="M78" s="202"/>
    </row>
    <row r="79" spans="1:13" s="40" customFormat="1" x14ac:dyDescent="0.2">
      <c r="A79" s="90" t="s">
        <v>1956</v>
      </c>
      <c r="B79" s="39"/>
      <c r="C79" s="392">
        <v>137911</v>
      </c>
      <c r="D79" s="902"/>
      <c r="E79" s="392">
        <v>129502</v>
      </c>
      <c r="F79" s="902"/>
      <c r="G79" s="75">
        <v>126848</v>
      </c>
      <c r="I79" s="392">
        <v>132092.04002826638</v>
      </c>
      <c r="K79" s="392">
        <v>136054.80118354503</v>
      </c>
      <c r="M79" s="77"/>
    </row>
    <row r="80" spans="1:13" s="37" customFormat="1" x14ac:dyDescent="0.2">
      <c r="A80" s="90" t="s">
        <v>1957</v>
      </c>
      <c r="B80" s="39"/>
      <c r="C80" s="1124">
        <v>1821252042</v>
      </c>
      <c r="D80" s="1144"/>
      <c r="E80" s="1124">
        <v>1781282830.5599999</v>
      </c>
      <c r="F80" s="1056"/>
      <c r="G80" s="1129">
        <v>1687578761.8789999</v>
      </c>
      <c r="I80" s="1124">
        <v>1816908487.5599999</v>
      </c>
      <c r="K80" s="1124">
        <v>1871415741.5599999</v>
      </c>
      <c r="M80" s="128"/>
    </row>
    <row r="81" spans="1:16" s="40" customFormat="1" x14ac:dyDescent="0.2">
      <c r="A81" s="90"/>
      <c r="B81" s="39"/>
      <c r="C81" s="1145"/>
      <c r="D81" s="902"/>
      <c r="E81" s="1145"/>
      <c r="F81" s="902"/>
      <c r="G81" s="565"/>
      <c r="I81" s="1145"/>
      <c r="K81" s="1145"/>
    </row>
    <row r="82" spans="1:16" s="40" customFormat="1" x14ac:dyDescent="0.2">
      <c r="A82" s="35" t="s">
        <v>194</v>
      </c>
      <c r="B82" s="39"/>
      <c r="C82" s="902"/>
      <c r="D82" s="902"/>
      <c r="E82" s="902"/>
      <c r="F82" s="902"/>
      <c r="G82" s="565"/>
      <c r="I82" s="902"/>
      <c r="K82" s="902"/>
      <c r="M82" s="71"/>
      <c r="O82" s="101"/>
    </row>
    <row r="83" spans="1:16" s="40" customFormat="1" x14ac:dyDescent="0.2">
      <c r="A83" s="38" t="s">
        <v>413</v>
      </c>
      <c r="B83" s="39"/>
      <c r="C83" s="902"/>
      <c r="D83" s="902"/>
      <c r="E83" s="902"/>
      <c r="F83" s="902"/>
      <c r="G83" s="565"/>
      <c r="I83" s="902"/>
      <c r="K83" s="902"/>
      <c r="M83" s="1113"/>
    </row>
    <row r="84" spans="1:16" s="40" customFormat="1" x14ac:dyDescent="0.2">
      <c r="A84" s="41" t="s">
        <v>332</v>
      </c>
      <c r="B84" s="39"/>
      <c r="C84" s="1146">
        <v>10</v>
      </c>
      <c r="D84" s="902"/>
      <c r="E84" s="1146">
        <v>13</v>
      </c>
      <c r="F84" s="902"/>
      <c r="G84" s="1146"/>
      <c r="I84" s="1146">
        <v>15</v>
      </c>
      <c r="K84" s="1146"/>
      <c r="M84" s="71"/>
    </row>
    <row r="85" spans="1:16" s="40" customFormat="1" x14ac:dyDescent="0.2">
      <c r="A85" s="41" t="s">
        <v>256</v>
      </c>
      <c r="B85" s="39"/>
      <c r="C85" s="1147">
        <f>C84/C99</f>
        <v>8.0645161290322578E-2</v>
      </c>
      <c r="D85" s="902"/>
      <c r="E85" s="1147">
        <f>E84/E99</f>
        <v>9.420289855072464E-2</v>
      </c>
      <c r="F85" s="902"/>
      <c r="G85" s="1147"/>
      <c r="I85" s="1147">
        <f>I84/I99</f>
        <v>0.1048951048951049</v>
      </c>
      <c r="K85" s="1147"/>
      <c r="M85" s="100"/>
      <c r="P85" s="852"/>
    </row>
    <row r="86" spans="1:16" s="40" customFormat="1" x14ac:dyDescent="0.2">
      <c r="A86" s="41" t="s">
        <v>257</v>
      </c>
      <c r="B86" s="39"/>
      <c r="C86" s="1146">
        <v>28</v>
      </c>
      <c r="D86" s="902"/>
      <c r="E86" s="1146">
        <v>37</v>
      </c>
      <c r="F86" s="902"/>
      <c r="G86" s="1146"/>
      <c r="I86" s="1146">
        <v>37</v>
      </c>
      <c r="K86" s="1146"/>
      <c r="M86" s="71"/>
      <c r="O86" s="152"/>
    </row>
    <row r="87" spans="1:16" s="40" customFormat="1" x14ac:dyDescent="0.2">
      <c r="A87" s="41" t="s">
        <v>258</v>
      </c>
      <c r="B87" s="39"/>
      <c r="C87" s="1147">
        <f>C86/C99</f>
        <v>0.22580645161290322</v>
      </c>
      <c r="D87" s="902"/>
      <c r="E87" s="1147">
        <f>E86/E99</f>
        <v>0.26811594202898553</v>
      </c>
      <c r="F87" s="902"/>
      <c r="G87" s="1147"/>
      <c r="I87" s="1147">
        <f>I86/I99</f>
        <v>0.25874125874125875</v>
      </c>
      <c r="K87" s="1147"/>
      <c r="M87" s="100"/>
    </row>
    <row r="88" spans="1:16" s="37" customFormat="1" x14ac:dyDescent="0.2">
      <c r="A88" s="41" t="s">
        <v>259</v>
      </c>
      <c r="B88" s="39"/>
      <c r="C88" s="1146">
        <v>38</v>
      </c>
      <c r="D88" s="1056"/>
      <c r="E88" s="1146">
        <v>50</v>
      </c>
      <c r="F88" s="1056"/>
      <c r="G88" s="1146"/>
      <c r="I88" s="1146">
        <v>52</v>
      </c>
      <c r="K88" s="1146"/>
      <c r="M88" s="964"/>
      <c r="O88" s="1148"/>
      <c r="P88" s="1148"/>
    </row>
    <row r="89" spans="1:16" s="37" customFormat="1" x14ac:dyDescent="0.2">
      <c r="A89" s="41" t="s">
        <v>260</v>
      </c>
      <c r="B89" s="39"/>
      <c r="C89" s="1147">
        <f>C88/C99</f>
        <v>0.30645161290322581</v>
      </c>
      <c r="D89" s="1056"/>
      <c r="E89" s="1147">
        <f>E88/E99</f>
        <v>0.36231884057971014</v>
      </c>
      <c r="F89" s="1056"/>
      <c r="G89" s="1147"/>
      <c r="I89" s="1147">
        <f>I88/I99</f>
        <v>0.36363636363636365</v>
      </c>
      <c r="K89" s="1147"/>
      <c r="M89" s="215"/>
    </row>
    <row r="90" spans="1:16" s="40" customFormat="1" x14ac:dyDescent="0.2">
      <c r="A90" s="38" t="s">
        <v>211</v>
      </c>
      <c r="B90" s="39"/>
      <c r="C90" s="902"/>
      <c r="D90" s="902"/>
      <c r="E90" s="902"/>
      <c r="F90" s="902"/>
      <c r="G90" s="565"/>
      <c r="I90" s="902"/>
      <c r="K90" s="902"/>
    </row>
    <row r="91" spans="1:16" s="40" customFormat="1" x14ac:dyDescent="0.2">
      <c r="A91" s="38" t="s">
        <v>195</v>
      </c>
      <c r="B91" s="39"/>
      <c r="C91" s="902"/>
      <c r="D91" s="902"/>
      <c r="E91" s="902"/>
      <c r="F91" s="902"/>
      <c r="G91" s="565"/>
      <c r="I91" s="902"/>
      <c r="K91" s="902"/>
      <c r="M91" s="1149"/>
    </row>
    <row r="92" spans="1:16" s="40" customFormat="1" x14ac:dyDescent="0.2">
      <c r="A92" s="38" t="s">
        <v>196</v>
      </c>
      <c r="B92" s="39"/>
      <c r="C92" s="902"/>
      <c r="D92" s="902"/>
      <c r="E92" s="902"/>
      <c r="F92" s="902"/>
      <c r="G92" s="565"/>
      <c r="I92" s="902"/>
      <c r="K92" s="902"/>
      <c r="M92" s="76"/>
    </row>
    <row r="93" spans="1:16" s="40" customFormat="1" ht="15" x14ac:dyDescent="0.25">
      <c r="A93" s="1150" t="s">
        <v>197</v>
      </c>
      <c r="B93" s="39"/>
      <c r="C93" s="902"/>
      <c r="D93" s="902"/>
      <c r="E93" s="902"/>
      <c r="F93" s="902"/>
      <c r="G93" s="565"/>
      <c r="I93" s="902"/>
      <c r="K93" s="902"/>
      <c r="M93" s="65"/>
    </row>
    <row r="94" spans="1:16" s="40" customFormat="1" x14ac:dyDescent="0.2">
      <c r="A94" s="41" t="s">
        <v>261</v>
      </c>
      <c r="B94" s="39"/>
      <c r="C94" s="392">
        <v>117</v>
      </c>
      <c r="D94" s="902"/>
      <c r="E94" s="392">
        <v>131</v>
      </c>
      <c r="F94" s="902"/>
      <c r="G94" s="392">
        <v>130</v>
      </c>
      <c r="I94" s="392">
        <v>135</v>
      </c>
      <c r="K94" s="392">
        <v>136</v>
      </c>
      <c r="M94" s="333"/>
    </row>
    <row r="95" spans="1:16" s="40" customFormat="1" x14ac:dyDescent="0.2">
      <c r="A95" s="41" t="s">
        <v>262</v>
      </c>
      <c r="B95" s="39"/>
      <c r="C95" s="392">
        <v>7</v>
      </c>
      <c r="D95" s="902"/>
      <c r="E95" s="392">
        <v>7</v>
      </c>
      <c r="F95" s="902"/>
      <c r="G95" s="392">
        <v>7</v>
      </c>
      <c r="I95" s="392">
        <v>8</v>
      </c>
      <c r="K95" s="392">
        <v>7</v>
      </c>
      <c r="M95" s="78"/>
    </row>
    <row r="96" spans="1:16" s="40" customFormat="1" x14ac:dyDescent="0.2">
      <c r="A96" s="41" t="s">
        <v>198</v>
      </c>
      <c r="B96" s="39"/>
      <c r="C96" s="392">
        <f>SUM(C94:C95)</f>
        <v>124</v>
      </c>
      <c r="D96" s="902"/>
      <c r="E96" s="392">
        <f>SUM(E94:E95)</f>
        <v>138</v>
      </c>
      <c r="F96" s="902"/>
      <c r="G96" s="392">
        <f>SUM(G94:G95)</f>
        <v>137</v>
      </c>
      <c r="I96" s="392">
        <f>SUM(I94:I95)</f>
        <v>143</v>
      </c>
      <c r="K96" s="392">
        <f>SUM(K94:K95)</f>
        <v>143</v>
      </c>
      <c r="M96" s="393"/>
    </row>
    <row r="97" spans="1:16" s="40" customFormat="1" x14ac:dyDescent="0.2">
      <c r="A97" s="38" t="s">
        <v>199</v>
      </c>
      <c r="B97" s="39"/>
      <c r="C97" s="902"/>
      <c r="D97" s="902"/>
      <c r="E97" s="902"/>
      <c r="F97" s="902"/>
      <c r="G97" s="1128"/>
      <c r="I97" s="902"/>
      <c r="K97" s="902"/>
      <c r="M97" s="393"/>
    </row>
    <row r="98" spans="1:16" s="37" customFormat="1" x14ac:dyDescent="0.2">
      <c r="A98" s="41" t="s">
        <v>1961</v>
      </c>
      <c r="B98" s="39"/>
      <c r="C98" s="392">
        <v>124</v>
      </c>
      <c r="D98" s="1056"/>
      <c r="E98" s="392">
        <v>138</v>
      </c>
      <c r="F98" s="1056"/>
      <c r="G98" s="392">
        <v>137</v>
      </c>
      <c r="I98" s="392">
        <v>143</v>
      </c>
      <c r="K98" s="392">
        <v>143</v>
      </c>
      <c r="M98" s="89"/>
    </row>
    <row r="99" spans="1:16" s="37" customFormat="1" x14ac:dyDescent="0.2">
      <c r="A99" s="41" t="s">
        <v>198</v>
      </c>
      <c r="B99" s="39"/>
      <c r="C99" s="392">
        <v>124</v>
      </c>
      <c r="D99" s="1056"/>
      <c r="E99" s="392">
        <v>138</v>
      </c>
      <c r="F99" s="1056"/>
      <c r="G99" s="392">
        <v>137</v>
      </c>
      <c r="I99" s="392">
        <v>143</v>
      </c>
      <c r="K99" s="392">
        <v>143</v>
      </c>
      <c r="M99" s="89"/>
    </row>
    <row r="100" spans="1:16" s="48" customFormat="1" x14ac:dyDescent="0.2">
      <c r="C100" s="1151"/>
      <c r="D100" s="1151"/>
      <c r="E100" s="280"/>
      <c r="F100" s="280"/>
      <c r="G100" s="280"/>
      <c r="H100" s="280"/>
      <c r="I100" s="280"/>
      <c r="J100" s="280"/>
      <c r="K100" s="280"/>
    </row>
    <row r="101" spans="1:16" s="48" customFormat="1" x14ac:dyDescent="0.2">
      <c r="A101" s="49" t="s">
        <v>200</v>
      </c>
      <c r="B101" s="50"/>
      <c r="C101" s="51"/>
      <c r="D101" s="52"/>
      <c r="E101" s="53"/>
      <c r="F101" s="52"/>
      <c r="G101" s="53"/>
      <c r="H101" s="52"/>
      <c r="I101" s="53"/>
      <c r="J101" s="52"/>
      <c r="K101" s="53"/>
      <c r="L101" s="52"/>
      <c r="M101" s="51"/>
      <c r="N101" s="52"/>
    </row>
    <row r="102" spans="1:16" ht="30" customHeight="1" x14ac:dyDescent="0.2">
      <c r="A102" s="1800" t="s">
        <v>218</v>
      </c>
      <c r="B102" s="1815"/>
      <c r="C102" s="1816"/>
      <c r="D102" s="1815"/>
      <c r="E102" s="1816"/>
      <c r="F102" s="1815"/>
      <c r="G102" s="1816"/>
      <c r="H102" s="1815"/>
      <c r="I102" s="1816"/>
      <c r="J102" s="1815"/>
      <c r="K102" s="1816"/>
      <c r="L102" s="1815"/>
      <c r="M102" s="1816"/>
      <c r="N102" s="1815"/>
      <c r="O102" s="54"/>
      <c r="P102" s="54"/>
    </row>
    <row r="103" spans="1:16" s="1020" customFormat="1" ht="24.75" customHeight="1" x14ac:dyDescent="0.2">
      <c r="A103" s="1800" t="s">
        <v>1962</v>
      </c>
      <c r="B103" s="1815"/>
      <c r="C103" s="1816"/>
      <c r="D103" s="1815"/>
      <c r="E103" s="1816"/>
      <c r="F103" s="1815"/>
      <c r="G103" s="1816"/>
      <c r="H103" s="1815"/>
      <c r="I103" s="1816"/>
      <c r="J103" s="1815"/>
      <c r="K103" s="1816"/>
      <c r="L103" s="1815"/>
      <c r="M103" s="1816"/>
      <c r="N103" s="1815"/>
      <c r="O103" s="54"/>
      <c r="P103" s="54"/>
    </row>
    <row r="104" spans="1:16" s="1020" customFormat="1" ht="33" customHeight="1" x14ac:dyDescent="0.2">
      <c r="A104" s="1800" t="s">
        <v>1963</v>
      </c>
      <c r="B104" s="1815"/>
      <c r="C104" s="1816"/>
      <c r="D104" s="1815"/>
      <c r="E104" s="1816"/>
      <c r="F104" s="1815"/>
      <c r="G104" s="1816"/>
      <c r="H104" s="1815"/>
      <c r="I104" s="1816"/>
      <c r="J104" s="1815"/>
      <c r="K104" s="1816"/>
      <c r="L104" s="1815"/>
      <c r="M104" s="1816"/>
      <c r="N104" s="1815"/>
      <c r="O104" s="54"/>
      <c r="P104" s="54"/>
    </row>
    <row r="105" spans="1:16" s="1020" customFormat="1" ht="24.75" customHeight="1" x14ac:dyDescent="0.2">
      <c r="A105" s="1756" t="s">
        <v>1964</v>
      </c>
      <c r="B105" s="1736"/>
      <c r="C105" s="1737"/>
      <c r="D105" s="1736"/>
      <c r="E105" s="1737"/>
      <c r="F105" s="1736"/>
      <c r="G105" s="1737"/>
      <c r="H105" s="1736"/>
      <c r="I105" s="1737"/>
      <c r="J105" s="1736"/>
      <c r="K105" s="1737"/>
      <c r="L105" s="1736"/>
      <c r="M105" s="1737"/>
      <c r="N105" s="1736"/>
      <c r="O105" s="54"/>
      <c r="P105" s="54"/>
    </row>
    <row r="106" spans="1:16" s="1020" customFormat="1" ht="40.5" customHeight="1" x14ac:dyDescent="0.2">
      <c r="A106" s="1800" t="s">
        <v>1965</v>
      </c>
      <c r="B106" s="1815"/>
      <c r="C106" s="1816"/>
      <c r="D106" s="1815"/>
      <c r="E106" s="1816"/>
      <c r="F106" s="1815"/>
      <c r="G106" s="1816"/>
      <c r="H106" s="1815"/>
      <c r="I106" s="1816"/>
      <c r="J106" s="1815"/>
      <c r="K106" s="1816"/>
      <c r="L106" s="1815"/>
      <c r="M106" s="1816"/>
      <c r="N106" s="1815"/>
      <c r="O106" s="54"/>
      <c r="P106" s="54"/>
    </row>
    <row r="107" spans="1:16" ht="21" customHeight="1" x14ac:dyDescent="0.2">
      <c r="A107" s="1755"/>
      <c r="B107" s="1736"/>
      <c r="C107" s="1737"/>
      <c r="D107" s="1736"/>
      <c r="E107" s="1737"/>
      <c r="F107" s="1736"/>
      <c r="G107" s="1737"/>
      <c r="H107" s="1736"/>
      <c r="I107" s="1737"/>
      <c r="J107" s="1736"/>
      <c r="K107" s="1737"/>
      <c r="L107" s="1736"/>
      <c r="M107" s="1737"/>
      <c r="N107" s="1736"/>
      <c r="O107" s="54"/>
      <c r="P107" s="54"/>
    </row>
    <row r="108" spans="1:16" ht="21" customHeight="1" x14ac:dyDescent="0.2">
      <c r="A108" s="1738"/>
      <c r="B108" s="1736"/>
      <c r="C108" s="1737"/>
      <c r="D108" s="1736"/>
      <c r="E108" s="1737"/>
      <c r="F108" s="1736"/>
      <c r="G108" s="1737"/>
      <c r="H108" s="1736"/>
      <c r="I108" s="1737"/>
      <c r="J108" s="1736"/>
      <c r="K108" s="1737"/>
      <c r="L108" s="1736"/>
      <c r="M108" s="1737"/>
      <c r="N108" s="1736"/>
      <c r="O108" s="54"/>
      <c r="P108" s="54"/>
    </row>
    <row r="110" spans="1:16" ht="15" x14ac:dyDescent="0.2">
      <c r="A110" s="699"/>
      <c r="B110" s="137"/>
      <c r="C110" s="138"/>
      <c r="D110" s="137"/>
      <c r="E110" s="138"/>
      <c r="F110" s="137"/>
      <c r="G110" s="138"/>
      <c r="H110" s="137"/>
      <c r="I110" s="138"/>
      <c r="J110" s="137"/>
      <c r="K110" s="138"/>
    </row>
    <row r="111" spans="1:16" x14ac:dyDescent="0.2">
      <c r="L111" s="137"/>
      <c r="M111" s="138"/>
      <c r="N111" s="137"/>
    </row>
    <row r="115" spans="1:17" x14ac:dyDescent="0.2">
      <c r="A115" s="55"/>
      <c r="B115" s="54"/>
      <c r="C115" s="107"/>
      <c r="D115" s="54"/>
      <c r="E115" s="107"/>
      <c r="F115" s="54"/>
      <c r="G115" s="107"/>
      <c r="H115" s="54"/>
      <c r="I115" s="107"/>
      <c r="J115" s="54"/>
      <c r="K115" s="107"/>
    </row>
    <row r="116" spans="1:17" x14ac:dyDescent="0.2">
      <c r="A116" s="55"/>
      <c r="B116" s="54"/>
      <c r="C116" s="56"/>
      <c r="D116" s="54"/>
      <c r="E116" s="56"/>
      <c r="F116" s="54"/>
      <c r="G116" s="56"/>
      <c r="H116" s="54"/>
      <c r="I116" s="56"/>
      <c r="J116" s="54"/>
      <c r="K116" s="56"/>
      <c r="L116" s="54"/>
      <c r="M116" s="107"/>
      <c r="N116" s="54"/>
      <c r="O116" s="54"/>
      <c r="P116" s="54"/>
    </row>
    <row r="117" spans="1:17" x14ac:dyDescent="0.2">
      <c r="A117" s="55"/>
      <c r="B117" s="54"/>
      <c r="C117" s="107"/>
      <c r="D117" s="54"/>
      <c r="E117" s="107"/>
      <c r="F117" s="54"/>
      <c r="G117" s="107"/>
      <c r="H117" s="54"/>
      <c r="I117" s="107"/>
      <c r="J117" s="54"/>
      <c r="K117" s="107"/>
      <c r="L117" s="54"/>
      <c r="M117" s="56"/>
      <c r="N117" s="54"/>
      <c r="O117" s="54"/>
      <c r="P117" s="54"/>
    </row>
    <row r="118" spans="1:17" x14ac:dyDescent="0.2">
      <c r="A118" s="55"/>
      <c r="B118" s="54"/>
      <c r="C118" s="56"/>
      <c r="D118" s="54"/>
      <c r="E118" s="56"/>
      <c r="F118" s="54"/>
      <c r="G118" s="56"/>
      <c r="H118" s="54"/>
      <c r="I118" s="56"/>
      <c r="J118" s="54"/>
      <c r="K118" s="56"/>
      <c r="L118" s="54"/>
      <c r="M118" s="107"/>
      <c r="N118" s="54"/>
      <c r="O118" s="54"/>
      <c r="P118" s="54"/>
    </row>
    <row r="119" spans="1:17" x14ac:dyDescent="0.2">
      <c r="A119" s="55"/>
      <c r="B119" s="54"/>
      <c r="C119" s="107"/>
      <c r="D119" s="54"/>
      <c r="E119" s="107"/>
      <c r="F119" s="54"/>
      <c r="G119" s="107"/>
      <c r="H119" s="54"/>
      <c r="I119" s="107"/>
      <c r="J119" s="54"/>
      <c r="K119" s="107"/>
      <c r="L119" s="54"/>
      <c r="M119" s="56"/>
      <c r="N119" s="54"/>
      <c r="O119" s="54"/>
      <c r="P119" s="54"/>
    </row>
    <row r="120" spans="1:17" x14ac:dyDescent="0.2">
      <c r="A120" s="55"/>
      <c r="B120" s="54"/>
      <c r="C120" s="107"/>
      <c r="D120" s="54"/>
      <c r="E120" s="107"/>
      <c r="F120" s="54"/>
      <c r="G120" s="107"/>
      <c r="H120" s="54"/>
      <c r="I120" s="107"/>
      <c r="J120" s="54"/>
      <c r="K120" s="107"/>
      <c r="L120" s="54"/>
      <c r="M120" s="107"/>
      <c r="N120" s="54"/>
      <c r="O120" s="54"/>
      <c r="P120" s="54"/>
    </row>
    <row r="121" spans="1:17" x14ac:dyDescent="0.2">
      <c r="A121" s="55"/>
      <c r="B121" s="54"/>
      <c r="C121" s="54"/>
      <c r="D121" s="54"/>
      <c r="E121" s="54"/>
      <c r="F121" s="54"/>
      <c r="G121" s="54"/>
      <c r="H121" s="54"/>
      <c r="I121" s="54"/>
      <c r="J121" s="54"/>
      <c r="K121" s="54"/>
      <c r="L121" s="54"/>
      <c r="M121" s="107"/>
      <c r="N121" s="54"/>
      <c r="O121" s="54"/>
      <c r="P121" s="54"/>
    </row>
    <row r="122" spans="1:17" x14ac:dyDescent="0.2">
      <c r="B122" s="25"/>
      <c r="C122" s="25"/>
      <c r="D122" s="25"/>
      <c r="E122" s="58"/>
      <c r="F122" s="58"/>
      <c r="G122" s="58"/>
      <c r="H122" s="58"/>
      <c r="L122" s="54"/>
      <c r="M122" s="54"/>
      <c r="N122" s="54"/>
      <c r="O122" s="54"/>
      <c r="P122" s="54"/>
      <c r="Q122" s="57"/>
    </row>
    <row r="123" spans="1:17" x14ac:dyDescent="0.2">
      <c r="B123" s="25"/>
      <c r="C123" s="25"/>
      <c r="D123" s="25"/>
      <c r="E123" s="58"/>
      <c r="F123" s="58"/>
      <c r="G123" s="58"/>
      <c r="H123" s="58"/>
    </row>
    <row r="124" spans="1:17" x14ac:dyDescent="0.2">
      <c r="B124" s="25"/>
      <c r="C124" s="25"/>
      <c r="D124" s="25"/>
      <c r="E124" s="58"/>
      <c r="F124" s="58"/>
      <c r="G124" s="58"/>
      <c r="H124" s="58"/>
    </row>
    <row r="125" spans="1:17" x14ac:dyDescent="0.2">
      <c r="B125" s="25"/>
      <c r="C125" s="25"/>
      <c r="D125" s="25"/>
      <c r="E125" s="58"/>
      <c r="F125" s="58"/>
      <c r="G125" s="58"/>
      <c r="H125" s="58"/>
    </row>
    <row r="126" spans="1:17" x14ac:dyDescent="0.2">
      <c r="B126" s="25"/>
      <c r="C126" s="25"/>
      <c r="D126" s="25"/>
      <c r="E126" s="58"/>
      <c r="F126" s="58"/>
      <c r="G126" s="58"/>
      <c r="H126" s="58"/>
    </row>
    <row r="127" spans="1:17" x14ac:dyDescent="0.2">
      <c r="B127" s="25"/>
      <c r="C127" s="25"/>
      <c r="D127" s="25"/>
      <c r="E127" s="58"/>
      <c r="F127" s="58"/>
      <c r="G127" s="58"/>
      <c r="H127" s="58"/>
    </row>
    <row r="128" spans="1:17" x14ac:dyDescent="0.2">
      <c r="B128" s="25"/>
      <c r="C128" s="25"/>
      <c r="D128" s="25"/>
      <c r="E128" s="58"/>
      <c r="F128" s="58"/>
      <c r="G128" s="58"/>
      <c r="H128" s="58"/>
    </row>
    <row r="129" spans="2:8" x14ac:dyDescent="0.2">
      <c r="B129" s="25"/>
      <c r="C129" s="25"/>
      <c r="D129" s="25"/>
      <c r="E129" s="58"/>
      <c r="F129" s="58"/>
      <c r="G129" s="58"/>
      <c r="H129" s="58"/>
    </row>
    <row r="130" spans="2:8" x14ac:dyDescent="0.2">
      <c r="B130" s="25"/>
      <c r="C130" s="25"/>
      <c r="D130" s="25"/>
      <c r="E130" s="58"/>
      <c r="F130" s="58"/>
      <c r="G130" s="58"/>
      <c r="H130" s="58"/>
    </row>
    <row r="131" spans="2:8" x14ac:dyDescent="0.2">
      <c r="B131" s="25"/>
      <c r="C131" s="25"/>
      <c r="D131" s="25"/>
      <c r="E131" s="58"/>
      <c r="F131" s="58"/>
      <c r="G131" s="58"/>
      <c r="H131" s="58"/>
    </row>
    <row r="132" spans="2:8" x14ac:dyDescent="0.2">
      <c r="B132" s="25"/>
      <c r="C132" s="25"/>
      <c r="D132" s="25"/>
      <c r="E132" s="58"/>
      <c r="F132" s="58"/>
      <c r="G132" s="58"/>
      <c r="H132" s="58"/>
    </row>
    <row r="133" spans="2:8" x14ac:dyDescent="0.2">
      <c r="B133" s="25"/>
      <c r="C133" s="25"/>
      <c r="D133" s="25"/>
      <c r="E133" s="58"/>
      <c r="F133" s="58"/>
      <c r="G133" s="58"/>
      <c r="H133" s="58"/>
    </row>
    <row r="134" spans="2:8" x14ac:dyDescent="0.2">
      <c r="B134" s="25"/>
      <c r="C134" s="25"/>
      <c r="D134" s="25"/>
      <c r="E134" s="58"/>
      <c r="F134" s="58"/>
      <c r="G134" s="58"/>
      <c r="H134" s="58"/>
    </row>
    <row r="135" spans="2:8" x14ac:dyDescent="0.2">
      <c r="B135" s="25"/>
      <c r="C135" s="25"/>
      <c r="D135" s="25"/>
      <c r="E135" s="58"/>
      <c r="F135" s="58"/>
      <c r="G135" s="58"/>
      <c r="H135" s="58"/>
    </row>
    <row r="136" spans="2:8" x14ac:dyDescent="0.2">
      <c r="B136" s="25"/>
      <c r="C136" s="25"/>
      <c r="D136" s="25"/>
      <c r="E136" s="58"/>
      <c r="F136" s="58"/>
      <c r="G136" s="58"/>
      <c r="H136" s="58"/>
    </row>
    <row r="137" spans="2:8" x14ac:dyDescent="0.2">
      <c r="B137" s="25"/>
      <c r="C137" s="25"/>
      <c r="D137" s="25"/>
      <c r="E137" s="58"/>
      <c r="F137" s="58"/>
      <c r="G137" s="58"/>
      <c r="H137" s="58"/>
    </row>
    <row r="138" spans="2:8" x14ac:dyDescent="0.2">
      <c r="B138" s="25"/>
      <c r="C138" s="25"/>
      <c r="D138" s="25"/>
      <c r="E138" s="58"/>
      <c r="F138" s="58"/>
      <c r="G138" s="58"/>
      <c r="H138" s="58"/>
    </row>
    <row r="139" spans="2:8" x14ac:dyDescent="0.2">
      <c r="B139" s="25"/>
      <c r="C139" s="25"/>
      <c r="D139" s="25"/>
      <c r="E139" s="58"/>
      <c r="F139" s="58"/>
      <c r="G139" s="58"/>
      <c r="H139" s="58"/>
    </row>
    <row r="140" spans="2:8" x14ac:dyDescent="0.2">
      <c r="B140" s="25"/>
      <c r="C140" s="25"/>
      <c r="D140" s="25"/>
      <c r="E140" s="58"/>
      <c r="F140" s="58"/>
      <c r="G140" s="58"/>
      <c r="H140" s="58"/>
    </row>
    <row r="141" spans="2:8" x14ac:dyDescent="0.2">
      <c r="B141" s="25"/>
      <c r="C141" s="25"/>
      <c r="D141" s="25"/>
      <c r="E141" s="58"/>
      <c r="F141" s="58"/>
      <c r="G141" s="58"/>
      <c r="H141" s="58"/>
    </row>
    <row r="142" spans="2:8" x14ac:dyDescent="0.2">
      <c r="B142" s="25"/>
      <c r="C142" s="25"/>
      <c r="D142" s="25"/>
      <c r="E142" s="58"/>
      <c r="F142" s="58"/>
      <c r="G142" s="58"/>
      <c r="H142" s="58"/>
    </row>
    <row r="143" spans="2:8" x14ac:dyDescent="0.2">
      <c r="B143" s="25"/>
      <c r="C143" s="25"/>
      <c r="D143" s="25"/>
      <c r="E143" s="58"/>
      <c r="F143" s="58"/>
      <c r="G143" s="58"/>
      <c r="H143" s="58"/>
    </row>
    <row r="144" spans="2:8" x14ac:dyDescent="0.2">
      <c r="B144" s="25"/>
      <c r="C144" s="25"/>
      <c r="D144" s="25"/>
      <c r="E144" s="58"/>
      <c r="F144" s="58"/>
      <c r="G144" s="58"/>
      <c r="H144" s="58"/>
    </row>
    <row r="145" spans="2:13" x14ac:dyDescent="0.2">
      <c r="B145" s="25"/>
      <c r="C145" s="25"/>
      <c r="D145" s="25"/>
      <c r="E145" s="58"/>
      <c r="F145" s="58"/>
      <c r="G145" s="58"/>
      <c r="H145" s="58"/>
    </row>
    <row r="146" spans="2:13" x14ac:dyDescent="0.2">
      <c r="B146" s="25"/>
      <c r="C146" s="25"/>
      <c r="D146" s="25"/>
      <c r="E146" s="58"/>
      <c r="F146" s="58"/>
      <c r="G146" s="58"/>
      <c r="H146" s="58"/>
    </row>
    <row r="147" spans="2:13" x14ac:dyDescent="0.2">
      <c r="B147" s="25"/>
      <c r="C147" s="25"/>
      <c r="D147" s="25"/>
      <c r="E147" s="58"/>
      <c r="F147" s="58"/>
      <c r="G147" s="58"/>
      <c r="H147" s="58"/>
    </row>
    <row r="148" spans="2:13" x14ac:dyDescent="0.2">
      <c r="B148" s="25"/>
      <c r="C148" s="25"/>
      <c r="D148" s="25"/>
      <c r="E148" s="58"/>
      <c r="F148" s="58"/>
      <c r="G148" s="58"/>
      <c r="H148" s="58"/>
    </row>
    <row r="149" spans="2:13" x14ac:dyDescent="0.2">
      <c r="B149" s="25"/>
      <c r="C149" s="984"/>
      <c r="D149" s="25"/>
      <c r="E149" s="984"/>
      <c r="F149" s="58"/>
      <c r="G149" s="984"/>
      <c r="H149" s="58"/>
      <c r="I149" s="985"/>
      <c r="K149" s="985"/>
    </row>
    <row r="150" spans="2:13" x14ac:dyDescent="0.2">
      <c r="B150" s="25"/>
      <c r="C150" s="25"/>
      <c r="D150" s="25"/>
      <c r="E150" s="58"/>
      <c r="F150" s="58"/>
      <c r="G150" s="58"/>
      <c r="H150" s="58"/>
      <c r="M150" s="985"/>
    </row>
    <row r="151" spans="2:13" x14ac:dyDescent="0.2">
      <c r="B151" s="25"/>
    </row>
    <row r="152" spans="2:13" x14ac:dyDescent="0.2">
      <c r="B152" s="25"/>
    </row>
    <row r="153" spans="2:13" x14ac:dyDescent="0.2">
      <c r="B153" s="25"/>
    </row>
    <row r="154" spans="2:13" x14ac:dyDescent="0.2">
      <c r="B154" s="25"/>
    </row>
    <row r="155" spans="2:13" x14ac:dyDescent="0.2">
      <c r="B155" s="25"/>
    </row>
    <row r="156" spans="2:13" x14ac:dyDescent="0.2">
      <c r="B156" s="25"/>
    </row>
    <row r="157" spans="2:13" x14ac:dyDescent="0.2">
      <c r="B157" s="25"/>
    </row>
    <row r="158" spans="2:13" x14ac:dyDescent="0.2">
      <c r="B158" s="25"/>
    </row>
    <row r="159" spans="2:13" x14ac:dyDescent="0.2">
      <c r="B159" s="25"/>
    </row>
    <row r="160" spans="2:13" x14ac:dyDescent="0.2">
      <c r="B160" s="25"/>
    </row>
    <row r="161" spans="2:2" x14ac:dyDescent="0.2">
      <c r="B161" s="25"/>
    </row>
    <row r="162" spans="2:2" x14ac:dyDescent="0.2">
      <c r="B162" s="25"/>
    </row>
    <row r="163" spans="2:2" x14ac:dyDescent="0.2">
      <c r="B163" s="25"/>
    </row>
    <row r="164" spans="2:2" x14ac:dyDescent="0.2">
      <c r="B164" s="25"/>
    </row>
    <row r="165" spans="2:2" x14ac:dyDescent="0.2">
      <c r="B165" s="25"/>
    </row>
    <row r="166" spans="2:2" x14ac:dyDescent="0.2">
      <c r="B166" s="25"/>
    </row>
    <row r="167" spans="2:2" x14ac:dyDescent="0.2">
      <c r="B167" s="25"/>
    </row>
  </sheetData>
  <mergeCells count="8">
    <mergeCell ref="A108:N108"/>
    <mergeCell ref="K2:K3"/>
    <mergeCell ref="A102:N102"/>
    <mergeCell ref="A103:N103"/>
    <mergeCell ref="A104:N104"/>
    <mergeCell ref="A105:N105"/>
    <mergeCell ref="A106:N106"/>
    <mergeCell ref="A107:N107"/>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3" right="0.3" top="0.75" bottom="0.5" header="0.5" footer="0.5"/>
  <pageSetup scale="60" pageOrder="overThenDown" orientation="portrait" blackAndWhite="1"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2">
    <pageSetUpPr fitToPage="1"/>
  </sheetPr>
  <dimension ref="A1:Q13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116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1152"/>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52"/>
      <c r="L4" s="6"/>
      <c r="M4" s="11"/>
      <c r="N4" s="6"/>
    </row>
    <row r="5" spans="1:16" s="4" customFormat="1" ht="15.75" x14ac:dyDescent="0.2">
      <c r="A5" s="1" t="s">
        <v>183</v>
      </c>
      <c r="B5" s="12" t="s">
        <v>1966</v>
      </c>
      <c r="C5" s="12" t="s">
        <v>48</v>
      </c>
      <c r="D5" s="13"/>
      <c r="E5" s="14"/>
      <c r="G5" s="14"/>
      <c r="I5" s="14"/>
      <c r="K5" s="1153"/>
      <c r="M5" s="14"/>
    </row>
    <row r="6" spans="1:16" s="4" customFormat="1" ht="15.75" x14ac:dyDescent="0.25">
      <c r="A6" s="15" t="s">
        <v>186</v>
      </c>
      <c r="B6" s="16">
        <v>4</v>
      </c>
      <c r="C6" s="17"/>
      <c r="D6" s="18"/>
      <c r="E6" s="19"/>
      <c r="F6" s="9"/>
      <c r="G6" s="8"/>
      <c r="H6" s="6"/>
      <c r="I6" s="8"/>
      <c r="J6" s="6"/>
      <c r="K6" s="1152"/>
      <c r="L6" s="6"/>
      <c r="M6" s="8"/>
      <c r="N6" s="6"/>
    </row>
    <row r="7" spans="1:16" s="24" customFormat="1" x14ac:dyDescent="0.2">
      <c r="A7" s="20"/>
      <c r="B7" s="21"/>
      <c r="C7" s="22"/>
      <c r="D7" s="23"/>
      <c r="E7" s="22"/>
      <c r="F7" s="23"/>
      <c r="G7" s="22"/>
      <c r="H7" s="23"/>
      <c r="I7" s="22"/>
      <c r="J7" s="23"/>
      <c r="K7" s="1154" t="s">
        <v>187</v>
      </c>
      <c r="L7" s="23"/>
      <c r="M7" s="22" t="s">
        <v>187</v>
      </c>
      <c r="N7" s="23"/>
    </row>
    <row r="8" spans="1:16" ht="15" x14ac:dyDescent="0.25">
      <c r="A8" s="963"/>
      <c r="C8" s="27" t="s">
        <v>188</v>
      </c>
      <c r="D8" s="28" t="s">
        <v>189</v>
      </c>
      <c r="E8" s="27" t="s">
        <v>188</v>
      </c>
      <c r="F8" s="28" t="s">
        <v>189</v>
      </c>
      <c r="G8" s="27" t="s">
        <v>190</v>
      </c>
      <c r="H8" s="28" t="s">
        <v>189</v>
      </c>
      <c r="I8" s="27" t="s">
        <v>191</v>
      </c>
      <c r="J8" s="28" t="s">
        <v>189</v>
      </c>
      <c r="K8" s="1155" t="s">
        <v>192</v>
      </c>
      <c r="L8" s="28" t="s">
        <v>189</v>
      </c>
      <c r="M8" s="27" t="s">
        <v>192</v>
      </c>
      <c r="N8" s="28" t="s">
        <v>189</v>
      </c>
      <c r="O8" s="29"/>
      <c r="P8" s="29"/>
    </row>
    <row r="9" spans="1:16" s="24" customFormat="1" ht="14.25" x14ac:dyDescent="0.2">
      <c r="A9" s="30" t="s">
        <v>1967</v>
      </c>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1156"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1968</v>
      </c>
      <c r="B11" s="36"/>
    </row>
    <row r="12" spans="1:16" s="40" customFormat="1" x14ac:dyDescent="0.2">
      <c r="A12" s="38" t="s">
        <v>1969</v>
      </c>
      <c r="B12" s="39"/>
      <c r="C12" s="159">
        <f>C14+C20</f>
        <v>42859</v>
      </c>
      <c r="E12" s="159">
        <f>E14+E20</f>
        <v>43615</v>
      </c>
      <c r="G12" s="159">
        <f>G14+G20</f>
        <v>44307</v>
      </c>
      <c r="I12" s="159">
        <f>I14+I20</f>
        <v>43276</v>
      </c>
      <c r="K12" s="159">
        <f>K14+K20</f>
        <v>43276</v>
      </c>
      <c r="M12" s="76"/>
    </row>
    <row r="13" spans="1:16" s="40" customFormat="1" x14ac:dyDescent="0.2">
      <c r="A13" s="38" t="s">
        <v>1970</v>
      </c>
      <c r="B13" s="39"/>
      <c r="C13" s="159">
        <f>C15+C21</f>
        <v>37914</v>
      </c>
      <c r="E13" s="159">
        <f>E15+E21</f>
        <v>38414</v>
      </c>
      <c r="G13" s="159">
        <f>G15+G21</f>
        <v>39397</v>
      </c>
      <c r="I13" s="159">
        <f>I15+I21</f>
        <v>38253</v>
      </c>
      <c r="K13" s="159">
        <f>K15+K21</f>
        <v>38253</v>
      </c>
      <c r="M13" s="112"/>
    </row>
    <row r="14" spans="1:16" s="40" customFormat="1" x14ac:dyDescent="0.2">
      <c r="A14" s="41" t="s">
        <v>1971</v>
      </c>
      <c r="B14" s="39"/>
      <c r="C14" s="159">
        <f>C16+C18</f>
        <v>34060</v>
      </c>
      <c r="E14" s="159">
        <f>E16+E18</f>
        <v>34578</v>
      </c>
      <c r="G14" s="159">
        <f>G16+G18</f>
        <v>34909</v>
      </c>
      <c r="I14" s="159">
        <f>I16+I18</f>
        <v>34205</v>
      </c>
      <c r="K14" s="159">
        <f>K16+K18</f>
        <v>34205</v>
      </c>
      <c r="M14" s="112"/>
    </row>
    <row r="15" spans="1:16" s="40" customFormat="1" x14ac:dyDescent="0.2">
      <c r="A15" s="41" t="s">
        <v>1972</v>
      </c>
      <c r="B15" s="39"/>
      <c r="C15" s="159">
        <f>C17+C19</f>
        <v>32073</v>
      </c>
      <c r="E15" s="159">
        <f>E17+E19</f>
        <v>32516</v>
      </c>
      <c r="G15" s="159">
        <f>G17+G19</f>
        <v>32872</v>
      </c>
      <c r="I15" s="159">
        <f>I17+I19</f>
        <v>32231</v>
      </c>
      <c r="K15" s="159">
        <f>K17+K19</f>
        <v>32231</v>
      </c>
      <c r="M15" s="112"/>
    </row>
    <row r="16" spans="1:16" s="40" customFormat="1" x14ac:dyDescent="0.2">
      <c r="A16" s="90" t="s">
        <v>1973</v>
      </c>
      <c r="B16" s="39"/>
      <c r="C16" s="1157">
        <v>32183</v>
      </c>
      <c r="E16" s="1157">
        <v>32613</v>
      </c>
      <c r="G16" s="1157">
        <v>32984</v>
      </c>
      <c r="I16" s="1157">
        <v>32375</v>
      </c>
      <c r="K16" s="1157">
        <v>32375</v>
      </c>
      <c r="M16" s="112"/>
    </row>
    <row r="17" spans="1:13" s="40" customFormat="1" x14ac:dyDescent="0.2">
      <c r="A17" s="90" t="s">
        <v>1974</v>
      </c>
      <c r="B17" s="39"/>
      <c r="C17" s="1157">
        <v>31292</v>
      </c>
      <c r="E17" s="1157">
        <v>31739</v>
      </c>
      <c r="G17" s="1157">
        <v>32071</v>
      </c>
      <c r="I17" s="1157">
        <v>31507</v>
      </c>
      <c r="K17" s="1157">
        <v>31507</v>
      </c>
      <c r="M17" s="112"/>
    </row>
    <row r="18" spans="1:13" s="40" customFormat="1" x14ac:dyDescent="0.2">
      <c r="A18" s="90" t="s">
        <v>1975</v>
      </c>
      <c r="B18" s="39"/>
      <c r="C18" s="1157">
        <v>1877</v>
      </c>
      <c r="E18" s="1157">
        <v>1965</v>
      </c>
      <c r="G18" s="1157">
        <v>1925</v>
      </c>
      <c r="I18" s="1157">
        <v>1830</v>
      </c>
      <c r="K18" s="1157">
        <v>1830</v>
      </c>
      <c r="M18" s="112"/>
    </row>
    <row r="19" spans="1:13" s="40" customFormat="1" x14ac:dyDescent="0.2">
      <c r="A19" s="90" t="s">
        <v>1976</v>
      </c>
      <c r="B19" s="39"/>
      <c r="C19" s="1157">
        <v>781</v>
      </c>
      <c r="E19" s="1157">
        <v>777</v>
      </c>
      <c r="G19" s="1157">
        <v>801</v>
      </c>
      <c r="I19" s="1157">
        <v>724</v>
      </c>
      <c r="K19" s="1157">
        <v>724</v>
      </c>
      <c r="M19" s="112"/>
    </row>
    <row r="20" spans="1:13" s="40" customFormat="1" x14ac:dyDescent="0.2">
      <c r="A20" s="41" t="s">
        <v>1977</v>
      </c>
      <c r="B20" s="39"/>
      <c r="C20" s="159">
        <f>C22+C24</f>
        <v>8799</v>
      </c>
      <c r="E20" s="159">
        <f>E22+E24</f>
        <v>9037</v>
      </c>
      <c r="G20" s="159">
        <f>G22+G24</f>
        <v>9398</v>
      </c>
      <c r="I20" s="159">
        <f>I22+I24</f>
        <v>9071</v>
      </c>
      <c r="K20" s="159">
        <f>K22+K24</f>
        <v>9071</v>
      </c>
      <c r="M20" s="112"/>
    </row>
    <row r="21" spans="1:13" s="40" customFormat="1" x14ac:dyDescent="0.2">
      <c r="A21" s="41" t="s">
        <v>1978</v>
      </c>
      <c r="B21" s="39"/>
      <c r="C21" s="159">
        <f>C23+C25</f>
        <v>5841</v>
      </c>
      <c r="E21" s="159">
        <f>E23+E25</f>
        <v>5898</v>
      </c>
      <c r="G21" s="159">
        <f>G23+G25</f>
        <v>6525</v>
      </c>
      <c r="I21" s="159">
        <f>I23+I25</f>
        <v>6022</v>
      </c>
      <c r="K21" s="159">
        <f>K23+K25</f>
        <v>6022</v>
      </c>
      <c r="M21" s="112"/>
    </row>
    <row r="22" spans="1:13" s="40" customFormat="1" x14ac:dyDescent="0.2">
      <c r="A22" s="90" t="s">
        <v>1973</v>
      </c>
      <c r="B22" s="39"/>
      <c r="C22" s="1157">
        <v>4701</v>
      </c>
      <c r="E22" s="1157">
        <v>4817</v>
      </c>
      <c r="G22" s="1157">
        <v>4148</v>
      </c>
      <c r="I22" s="1157">
        <v>4532</v>
      </c>
      <c r="K22" s="1157">
        <v>4532</v>
      </c>
      <c r="M22" s="112"/>
    </row>
    <row r="23" spans="1:13" s="40" customFormat="1" x14ac:dyDescent="0.2">
      <c r="A23" s="90" t="s">
        <v>1974</v>
      </c>
      <c r="B23" s="39"/>
      <c r="C23" s="1157">
        <v>2404</v>
      </c>
      <c r="E23" s="1157">
        <v>2391</v>
      </c>
      <c r="G23" s="1157">
        <v>2121</v>
      </c>
      <c r="I23" s="1157">
        <v>2250</v>
      </c>
      <c r="K23" s="1157">
        <v>2250</v>
      </c>
      <c r="M23" s="112"/>
    </row>
    <row r="24" spans="1:13" s="40" customFormat="1" x14ac:dyDescent="0.2">
      <c r="A24" s="90" t="s">
        <v>1975</v>
      </c>
      <c r="B24" s="39"/>
      <c r="C24" s="1157">
        <v>4098</v>
      </c>
      <c r="E24" s="1157">
        <v>4220</v>
      </c>
      <c r="G24" s="1157">
        <v>5250</v>
      </c>
      <c r="I24" s="1157">
        <v>4539</v>
      </c>
      <c r="K24" s="1157">
        <v>4539</v>
      </c>
      <c r="M24" s="112"/>
    </row>
    <row r="25" spans="1:13" s="40" customFormat="1" x14ac:dyDescent="0.2">
      <c r="A25" s="90" t="s">
        <v>1976</v>
      </c>
      <c r="B25" s="39"/>
      <c r="C25" s="1157">
        <v>3437</v>
      </c>
      <c r="E25" s="1157">
        <v>3507</v>
      </c>
      <c r="G25" s="1157">
        <v>4404</v>
      </c>
      <c r="I25" s="1157">
        <v>3772</v>
      </c>
      <c r="K25" s="1157">
        <v>3772</v>
      </c>
      <c r="M25" s="112"/>
    </row>
    <row r="26" spans="1:13" s="40" customFormat="1" x14ac:dyDescent="0.2">
      <c r="A26" s="41" t="s">
        <v>1979</v>
      </c>
      <c r="B26" s="39"/>
      <c r="C26" s="1157">
        <v>15556</v>
      </c>
      <c r="E26" s="1157">
        <v>15578</v>
      </c>
      <c r="G26" s="1157">
        <v>15556</v>
      </c>
      <c r="I26" s="1157">
        <v>15578</v>
      </c>
      <c r="K26" s="1157">
        <v>15578</v>
      </c>
      <c r="M26" s="112"/>
    </row>
    <row r="27" spans="1:13" s="40" customFormat="1" x14ac:dyDescent="0.2">
      <c r="A27" s="38" t="s">
        <v>1980</v>
      </c>
      <c r="B27" s="39"/>
      <c r="C27" s="159">
        <f>C29+C28</f>
        <v>4742</v>
      </c>
      <c r="E27" s="159">
        <f>E29+E28</f>
        <v>4616</v>
      </c>
      <c r="G27" s="1158">
        <f>G29+G28</f>
        <v>4868</v>
      </c>
      <c r="I27" s="1158">
        <f>I29+I28</f>
        <v>4788</v>
      </c>
      <c r="K27" s="1158">
        <f>K29+K28</f>
        <v>4788</v>
      </c>
      <c r="M27" s="112"/>
    </row>
    <row r="28" spans="1:13" s="40" customFormat="1" x14ac:dyDescent="0.2">
      <c r="A28" s="41" t="s">
        <v>1971</v>
      </c>
      <c r="B28" s="39"/>
      <c r="C28" s="1157">
        <v>681</v>
      </c>
      <c r="E28" s="1158">
        <v>697</v>
      </c>
      <c r="G28" s="1158">
        <v>786</v>
      </c>
      <c r="I28" s="1158">
        <v>641</v>
      </c>
      <c r="K28" s="1158">
        <v>641</v>
      </c>
      <c r="M28" s="112"/>
    </row>
    <row r="29" spans="1:13" s="40" customFormat="1" x14ac:dyDescent="0.2">
      <c r="A29" s="41" t="s">
        <v>1977</v>
      </c>
      <c r="B29" s="39"/>
      <c r="C29" s="1157">
        <v>4061</v>
      </c>
      <c r="E29" s="1158">
        <v>3919</v>
      </c>
      <c r="G29" s="1158">
        <v>4082</v>
      </c>
      <c r="I29" s="1158">
        <v>4147</v>
      </c>
      <c r="K29" s="1158">
        <v>4147</v>
      </c>
      <c r="M29" s="112"/>
    </row>
    <row r="30" spans="1:13" s="40" customFormat="1" x14ac:dyDescent="0.2">
      <c r="A30" s="38" t="s">
        <v>1981</v>
      </c>
      <c r="B30" s="39"/>
      <c r="C30" s="1157">
        <v>374</v>
      </c>
      <c r="E30" s="159">
        <v>380</v>
      </c>
      <c r="G30" s="1158">
        <v>380</v>
      </c>
      <c r="I30" s="1158">
        <v>385</v>
      </c>
      <c r="K30" s="1158">
        <v>387</v>
      </c>
      <c r="M30" s="76"/>
    </row>
    <row r="31" spans="1:13" s="40" customFormat="1" x14ac:dyDescent="0.2">
      <c r="A31" s="38" t="s">
        <v>1982</v>
      </c>
      <c r="B31" s="39"/>
      <c r="C31" s="1157">
        <v>8206</v>
      </c>
      <c r="E31" s="159">
        <v>8433</v>
      </c>
      <c r="G31" s="1158">
        <v>8438</v>
      </c>
      <c r="I31" s="1158">
        <v>8445</v>
      </c>
      <c r="K31" s="1158">
        <v>8445</v>
      </c>
      <c r="M31" s="76"/>
    </row>
    <row r="32" spans="1:13" s="40" customFormat="1" x14ac:dyDescent="0.2">
      <c r="A32" s="38" t="s">
        <v>1983</v>
      </c>
      <c r="B32" s="39"/>
      <c r="E32" s="159"/>
      <c r="M32" s="63"/>
    </row>
    <row r="33" spans="1:13" s="40" customFormat="1" x14ac:dyDescent="0.2">
      <c r="A33" s="41" t="s">
        <v>1984</v>
      </c>
      <c r="B33" s="39"/>
      <c r="C33" s="1157">
        <v>7962</v>
      </c>
      <c r="E33" s="1157">
        <v>8498</v>
      </c>
      <c r="G33" s="1157">
        <v>8000</v>
      </c>
      <c r="I33" s="1157">
        <v>8525</v>
      </c>
      <c r="K33" s="1157">
        <v>8525</v>
      </c>
      <c r="M33" s="76"/>
    </row>
    <row r="34" spans="1:13" s="40" customFormat="1" x14ac:dyDescent="0.2">
      <c r="A34" s="41" t="s">
        <v>1985</v>
      </c>
      <c r="B34" s="39"/>
      <c r="C34" s="1157">
        <v>3237</v>
      </c>
      <c r="E34" s="159">
        <v>3011</v>
      </c>
      <c r="G34" s="159">
        <v>3250</v>
      </c>
      <c r="I34" s="159">
        <v>3100</v>
      </c>
      <c r="K34" s="159">
        <v>3100</v>
      </c>
      <c r="M34" s="76"/>
    </row>
    <row r="35" spans="1:13" s="40" customFormat="1" x14ac:dyDescent="0.2">
      <c r="A35" s="41" t="s">
        <v>1986</v>
      </c>
      <c r="B35" s="39"/>
      <c r="C35" s="1157">
        <v>902</v>
      </c>
      <c r="E35" s="159">
        <v>948</v>
      </c>
      <c r="G35" s="159">
        <v>904</v>
      </c>
      <c r="I35" s="159">
        <v>1025</v>
      </c>
      <c r="K35" s="159">
        <v>1025</v>
      </c>
      <c r="M35" s="76"/>
    </row>
    <row r="36" spans="1:13" s="40" customFormat="1" x14ac:dyDescent="0.2">
      <c r="A36" s="124" t="s">
        <v>1987</v>
      </c>
      <c r="B36" s="39"/>
      <c r="C36" s="159">
        <v>286</v>
      </c>
      <c r="E36" s="159">
        <v>315</v>
      </c>
      <c r="G36" s="159">
        <v>286</v>
      </c>
      <c r="I36" s="159">
        <v>345</v>
      </c>
      <c r="K36" s="159">
        <v>345</v>
      </c>
      <c r="M36" s="76"/>
    </row>
    <row r="37" spans="1:13" s="40" customFormat="1" x14ac:dyDescent="0.2">
      <c r="A37" s="124" t="s">
        <v>1988</v>
      </c>
      <c r="B37" s="39"/>
      <c r="C37" s="159">
        <v>110</v>
      </c>
      <c r="E37" s="159">
        <v>118</v>
      </c>
      <c r="G37" s="159">
        <v>110</v>
      </c>
      <c r="I37" s="159">
        <v>125</v>
      </c>
      <c r="K37" s="159">
        <v>125</v>
      </c>
      <c r="M37" s="76"/>
    </row>
    <row r="38" spans="1:13" s="40" customFormat="1" x14ac:dyDescent="0.2">
      <c r="A38" s="38" t="s">
        <v>1989</v>
      </c>
      <c r="B38" s="39"/>
      <c r="C38" s="1159" t="s">
        <v>1990</v>
      </c>
      <c r="E38" s="1159" t="s">
        <v>1990</v>
      </c>
      <c r="G38" s="1159" t="s">
        <v>1991</v>
      </c>
      <c r="I38" s="1159" t="s">
        <v>1992</v>
      </c>
      <c r="K38" s="1159" t="s">
        <v>1992</v>
      </c>
      <c r="M38" s="76"/>
    </row>
    <row r="39" spans="1:13" s="40" customFormat="1" ht="25.5" x14ac:dyDescent="0.2">
      <c r="A39" s="39" t="s">
        <v>1993</v>
      </c>
      <c r="B39" s="39"/>
      <c r="C39" s="78">
        <v>5574</v>
      </c>
      <c r="E39" s="112">
        <v>5305</v>
      </c>
      <c r="G39" s="77"/>
      <c r="I39" s="76">
        <v>4250</v>
      </c>
      <c r="K39" s="77"/>
      <c r="M39" s="77"/>
    </row>
    <row r="40" spans="1:13" s="40" customFormat="1" x14ac:dyDescent="0.2">
      <c r="A40" s="41" t="s">
        <v>1994</v>
      </c>
      <c r="B40" s="39"/>
      <c r="C40" s="1077" t="s">
        <v>1995</v>
      </c>
      <c r="E40" s="1077" t="s">
        <v>1996</v>
      </c>
      <c r="G40" s="1078"/>
      <c r="I40" s="1077" t="s">
        <v>1997</v>
      </c>
      <c r="K40" s="1078"/>
      <c r="M40" s="1078"/>
    </row>
    <row r="41" spans="1:13" s="40" customFormat="1" x14ac:dyDescent="0.2">
      <c r="A41" s="41" t="s">
        <v>1998</v>
      </c>
      <c r="B41" s="39"/>
      <c r="C41" s="1077" t="s">
        <v>1999</v>
      </c>
      <c r="E41" s="1077" t="s">
        <v>2000</v>
      </c>
      <c r="G41" s="1078"/>
      <c r="I41" s="1077" t="s">
        <v>1996</v>
      </c>
      <c r="K41" s="1078"/>
      <c r="M41" s="1078"/>
    </row>
    <row r="42" spans="1:13" s="40" customFormat="1" hidden="1" x14ac:dyDescent="0.2">
      <c r="A42" s="41" t="s">
        <v>2001</v>
      </c>
      <c r="B42" s="39"/>
      <c r="C42" s="1077" t="s">
        <v>2002</v>
      </c>
      <c r="E42" s="1077" t="s">
        <v>2002</v>
      </c>
      <c r="G42" s="1078"/>
      <c r="I42" s="1077" t="s">
        <v>2002</v>
      </c>
      <c r="K42" s="1078"/>
      <c r="M42" s="1078"/>
    </row>
    <row r="43" spans="1:13" s="40" customFormat="1" x14ac:dyDescent="0.2">
      <c r="A43" s="41" t="s">
        <v>2003</v>
      </c>
      <c r="B43" s="39"/>
      <c r="C43" s="1160">
        <f>C40+C41+C42</f>
        <v>1244</v>
      </c>
      <c r="E43" s="121">
        <f>E40+E41+E42</f>
        <v>1244</v>
      </c>
      <c r="G43" s="70"/>
      <c r="I43" s="121">
        <f>I40+I41+I42</f>
        <v>1322</v>
      </c>
      <c r="K43" s="70"/>
      <c r="M43" s="70"/>
    </row>
    <row r="44" spans="1:13" s="40" customFormat="1" x14ac:dyDescent="0.2">
      <c r="A44" s="38" t="s">
        <v>2004</v>
      </c>
      <c r="B44" s="39"/>
      <c r="C44" s="74"/>
    </row>
    <row r="45" spans="1:13" s="40" customFormat="1" x14ac:dyDescent="0.2">
      <c r="A45" s="41" t="s">
        <v>2005</v>
      </c>
      <c r="B45" s="39"/>
      <c r="C45" s="441">
        <v>0.92100000000000004</v>
      </c>
      <c r="E45" s="100">
        <v>0.92900000000000005</v>
      </c>
      <c r="G45" s="101"/>
      <c r="I45" s="101"/>
      <c r="K45" s="101"/>
      <c r="M45" s="101"/>
    </row>
    <row r="46" spans="1:13" s="40" customFormat="1" x14ac:dyDescent="0.2">
      <c r="A46" s="41" t="s">
        <v>2006</v>
      </c>
      <c r="B46" s="39"/>
      <c r="C46" s="441">
        <v>0.76500000000000001</v>
      </c>
      <c r="E46" s="100">
        <v>0.76700000000000002</v>
      </c>
      <c r="G46" s="101"/>
      <c r="I46" s="101"/>
      <c r="K46" s="101"/>
      <c r="M46" s="101"/>
    </row>
    <row r="47" spans="1:13" s="40" customFormat="1" x14ac:dyDescent="0.2">
      <c r="A47" s="38" t="s">
        <v>2007</v>
      </c>
      <c r="B47" s="39"/>
    </row>
    <row r="48" spans="1:13" s="40" customFormat="1" x14ac:dyDescent="0.2">
      <c r="A48" s="41" t="s">
        <v>2008</v>
      </c>
      <c r="B48" s="39"/>
      <c r="C48" s="97">
        <v>31982</v>
      </c>
      <c r="E48" s="97">
        <v>32347</v>
      </c>
      <c r="G48" s="98"/>
      <c r="I48" s="97">
        <v>33769</v>
      </c>
      <c r="M48" s="98"/>
    </row>
    <row r="49" spans="1:13" s="40" customFormat="1" x14ac:dyDescent="0.2">
      <c r="A49" s="41" t="s">
        <v>2009</v>
      </c>
      <c r="B49" s="39"/>
      <c r="C49" s="97">
        <v>11217</v>
      </c>
      <c r="E49" s="97">
        <v>11408</v>
      </c>
      <c r="G49" s="98"/>
      <c r="I49" s="97">
        <v>11619</v>
      </c>
      <c r="M49" s="98"/>
    </row>
    <row r="50" spans="1:13" s="40" customFormat="1" x14ac:dyDescent="0.2">
      <c r="A50" s="41" t="s">
        <v>2010</v>
      </c>
      <c r="B50" s="39"/>
      <c r="C50" s="1161">
        <v>26607</v>
      </c>
      <c r="E50" s="1161">
        <v>27059</v>
      </c>
      <c r="G50" s="98"/>
      <c r="I50" s="97">
        <v>27560</v>
      </c>
      <c r="M50" s="98"/>
    </row>
    <row r="51" spans="1:13" s="40" customFormat="1" x14ac:dyDescent="0.2">
      <c r="A51" s="41" t="s">
        <v>2011</v>
      </c>
      <c r="B51" s="39"/>
      <c r="C51" s="97">
        <v>2914</v>
      </c>
      <c r="E51" s="97">
        <v>2964</v>
      </c>
      <c r="G51" s="98"/>
      <c r="I51" s="97">
        <v>3018</v>
      </c>
      <c r="K51" s="98"/>
      <c r="M51" s="98"/>
    </row>
    <row r="52" spans="1:13" s="40" customFormat="1" x14ac:dyDescent="0.2">
      <c r="A52" s="38" t="s">
        <v>2012</v>
      </c>
      <c r="B52" s="39"/>
      <c r="I52" s="97"/>
      <c r="M52" s="98"/>
    </row>
    <row r="53" spans="1:13" s="40" customFormat="1" x14ac:dyDescent="0.2">
      <c r="A53" s="41" t="s">
        <v>2013</v>
      </c>
      <c r="B53" s="117"/>
      <c r="C53" s="160">
        <v>38518</v>
      </c>
      <c r="E53" s="160">
        <v>39288</v>
      </c>
      <c r="G53" s="98"/>
      <c r="I53" s="97">
        <v>40074</v>
      </c>
      <c r="M53" s="98"/>
    </row>
    <row r="54" spans="1:13" s="40" customFormat="1" x14ac:dyDescent="0.2">
      <c r="A54" s="41" t="s">
        <v>2014</v>
      </c>
      <c r="B54" s="117"/>
      <c r="C54" s="160">
        <v>59433</v>
      </c>
      <c r="E54" s="160">
        <v>60622</v>
      </c>
      <c r="G54" s="98"/>
      <c r="I54" s="97">
        <v>61834</v>
      </c>
      <c r="M54" s="98"/>
    </row>
    <row r="55" spans="1:13" s="40" customFormat="1" x14ac:dyDescent="0.2">
      <c r="A55" s="41" t="s">
        <v>2015</v>
      </c>
      <c r="B55" s="117"/>
      <c r="C55" s="160">
        <v>38883</v>
      </c>
      <c r="E55" s="160">
        <v>39661</v>
      </c>
      <c r="G55" s="98"/>
      <c r="I55" s="97">
        <v>44024</v>
      </c>
      <c r="M55" s="98"/>
    </row>
    <row r="56" spans="1:13" s="40" customFormat="1" x14ac:dyDescent="0.2">
      <c r="A56" s="41" t="s">
        <v>2016</v>
      </c>
      <c r="B56" s="117"/>
      <c r="C56" s="160">
        <v>63001</v>
      </c>
      <c r="E56" s="160">
        <v>64261</v>
      </c>
      <c r="G56" s="98"/>
      <c r="I56" s="97">
        <v>71329</v>
      </c>
      <c r="M56" s="98"/>
    </row>
    <row r="57" spans="1:13" s="40" customFormat="1" x14ac:dyDescent="0.2">
      <c r="A57" s="41"/>
      <c r="B57" s="39"/>
      <c r="M57" s="98"/>
    </row>
    <row r="58" spans="1:13" s="40" customFormat="1" x14ac:dyDescent="0.2">
      <c r="A58" s="41"/>
      <c r="B58" s="39"/>
      <c r="M58" s="1077"/>
    </row>
    <row r="59" spans="1:13" s="37" customFormat="1" x14ac:dyDescent="0.2">
      <c r="A59" s="35" t="s">
        <v>517</v>
      </c>
      <c r="B59" s="36"/>
    </row>
    <row r="60" spans="1:13" s="37" customFormat="1" x14ac:dyDescent="0.2">
      <c r="A60" s="35" t="s">
        <v>1968</v>
      </c>
      <c r="B60" s="36"/>
    </row>
    <row r="61" spans="1:13" s="40" customFormat="1" x14ac:dyDescent="0.2">
      <c r="A61" s="38" t="s">
        <v>2017</v>
      </c>
      <c r="B61" s="39"/>
      <c r="C61" s="126"/>
    </row>
    <row r="62" spans="1:13" s="40" customFormat="1" x14ac:dyDescent="0.2">
      <c r="A62" s="41" t="s">
        <v>1298</v>
      </c>
      <c r="B62" s="39"/>
      <c r="C62" s="126">
        <v>711883000</v>
      </c>
      <c r="E62" s="126">
        <v>749612852</v>
      </c>
      <c r="G62" s="98"/>
      <c r="I62" s="126">
        <v>841547026</v>
      </c>
      <c r="M62" s="98"/>
    </row>
    <row r="63" spans="1:13" s="40" customFormat="1" x14ac:dyDescent="0.2">
      <c r="A63" s="41" t="s">
        <v>2018</v>
      </c>
      <c r="B63" s="39"/>
      <c r="C63" s="126">
        <v>540678000</v>
      </c>
      <c r="E63" s="126">
        <v>364456313</v>
      </c>
      <c r="G63" s="98"/>
      <c r="I63" s="126">
        <v>538701013</v>
      </c>
      <c r="M63" s="98"/>
    </row>
    <row r="64" spans="1:13" s="40" customFormat="1" x14ac:dyDescent="0.2">
      <c r="A64" s="41" t="s">
        <v>2019</v>
      </c>
      <c r="B64" s="39"/>
      <c r="C64" s="126">
        <v>23482000</v>
      </c>
      <c r="E64" s="126">
        <v>194390012</v>
      </c>
      <c r="G64" s="98"/>
      <c r="I64" s="126">
        <v>15250681</v>
      </c>
      <c r="M64" s="98"/>
    </row>
    <row r="65" spans="1:14" s="40" customFormat="1" x14ac:dyDescent="0.2">
      <c r="A65" s="41" t="s">
        <v>2020</v>
      </c>
      <c r="B65" s="39"/>
      <c r="C65" s="126">
        <v>110820000</v>
      </c>
      <c r="E65" s="126">
        <v>319477333</v>
      </c>
      <c r="G65" s="98"/>
      <c r="I65" s="126">
        <v>291815021</v>
      </c>
      <c r="M65" s="98"/>
    </row>
    <row r="66" spans="1:14" s="40" customFormat="1" x14ac:dyDescent="0.2">
      <c r="A66" s="41" t="s">
        <v>2021</v>
      </c>
      <c r="B66" s="39"/>
      <c r="C66" s="126">
        <v>384819000</v>
      </c>
      <c r="E66" s="126">
        <v>598251079</v>
      </c>
      <c r="G66" s="98"/>
      <c r="I66" s="126">
        <v>619504232</v>
      </c>
      <c r="M66" s="98"/>
    </row>
    <row r="67" spans="1:14" s="40" customFormat="1" x14ac:dyDescent="0.2">
      <c r="A67" s="41" t="s">
        <v>2022</v>
      </c>
      <c r="B67" s="39"/>
      <c r="C67" s="126">
        <v>245335000</v>
      </c>
      <c r="E67" s="126">
        <v>309127094</v>
      </c>
      <c r="G67" s="98"/>
      <c r="I67" s="126">
        <v>302489191</v>
      </c>
      <c r="M67" s="98"/>
    </row>
    <row r="68" spans="1:14" s="40" customFormat="1" x14ac:dyDescent="0.2">
      <c r="A68" s="41" t="s">
        <v>2023</v>
      </c>
      <c r="B68" s="39"/>
      <c r="C68" s="126">
        <v>249169000</v>
      </c>
      <c r="E68" s="1132">
        <v>314407496</v>
      </c>
      <c r="G68" s="98"/>
      <c r="I68" s="1132">
        <v>215062681</v>
      </c>
      <c r="K68" s="98"/>
      <c r="M68" s="98"/>
    </row>
    <row r="69" spans="1:14" s="40" customFormat="1" hidden="1" x14ac:dyDescent="0.2">
      <c r="A69" s="38" t="s">
        <v>2024</v>
      </c>
      <c r="B69" s="39"/>
      <c r="M69" s="97"/>
    </row>
    <row r="70" spans="1:14" s="40" customFormat="1" hidden="1" x14ac:dyDescent="0.2">
      <c r="A70" s="41" t="s">
        <v>2025</v>
      </c>
      <c r="B70" s="39"/>
      <c r="M70" s="97"/>
    </row>
    <row r="71" spans="1:14" s="40" customFormat="1" hidden="1" x14ac:dyDescent="0.2">
      <c r="A71" s="41" t="s">
        <v>2026</v>
      </c>
      <c r="B71" s="39"/>
      <c r="M71" s="97"/>
    </row>
    <row r="72" spans="1:14" s="40" customFormat="1" hidden="1" x14ac:dyDescent="0.2">
      <c r="A72" s="124" t="s">
        <v>2027</v>
      </c>
      <c r="B72" s="39"/>
      <c r="C72" s="126">
        <v>5000000</v>
      </c>
      <c r="E72" s="126">
        <v>5000000</v>
      </c>
      <c r="G72" s="126">
        <v>5000000</v>
      </c>
      <c r="I72" s="126">
        <v>5000000</v>
      </c>
      <c r="M72" s="97"/>
    </row>
    <row r="73" spans="1:14" s="40" customFormat="1" hidden="1" x14ac:dyDescent="0.2">
      <c r="A73" s="124" t="s">
        <v>2028</v>
      </c>
      <c r="B73" s="39"/>
      <c r="C73" s="126">
        <v>1700000</v>
      </c>
      <c r="E73" s="126">
        <v>1700000</v>
      </c>
      <c r="G73" s="126">
        <v>1700000</v>
      </c>
      <c r="I73" s="126">
        <v>1700000</v>
      </c>
      <c r="M73" s="1162"/>
    </row>
    <row r="74" spans="1:14" s="40" customFormat="1" hidden="1" x14ac:dyDescent="0.2">
      <c r="A74" s="124" t="s">
        <v>2029</v>
      </c>
      <c r="B74" s="39"/>
      <c r="C74" s="126">
        <v>139783000</v>
      </c>
      <c r="E74" s="126">
        <v>139783000</v>
      </c>
      <c r="G74" s="126">
        <v>139783000</v>
      </c>
      <c r="I74" s="126">
        <v>139783000</v>
      </c>
      <c r="K74" s="98"/>
      <c r="M74" s="97"/>
    </row>
    <row r="75" spans="1:14" s="37" customFormat="1" x14ac:dyDescent="0.2">
      <c r="A75" s="90"/>
      <c r="B75" s="39"/>
    </row>
    <row r="76" spans="1:14" s="37" customFormat="1" x14ac:dyDescent="0.2">
      <c r="A76" s="35" t="s">
        <v>194</v>
      </c>
      <c r="B76" s="36"/>
    </row>
    <row r="77" spans="1:14" s="37" customFormat="1" x14ac:dyDescent="0.2">
      <c r="A77" s="35" t="s">
        <v>195</v>
      </c>
      <c r="B77" s="36"/>
    </row>
    <row r="78" spans="1:14" s="37" customFormat="1" x14ac:dyDescent="0.2">
      <c r="A78" s="41" t="s">
        <v>2030</v>
      </c>
      <c r="B78" s="39"/>
      <c r="C78" s="78">
        <v>8013</v>
      </c>
      <c r="D78" s="78"/>
      <c r="E78" s="78">
        <v>8013</v>
      </c>
      <c r="F78" s="78"/>
      <c r="G78" s="78">
        <v>8013</v>
      </c>
      <c r="I78" s="78">
        <v>8013</v>
      </c>
      <c r="K78" s="78">
        <v>8013</v>
      </c>
      <c r="M78" s="78"/>
    </row>
    <row r="79" spans="1:14" s="40" customFormat="1" x14ac:dyDescent="0.2">
      <c r="A79" s="35"/>
      <c r="B79" s="36"/>
    </row>
    <row r="80" spans="1:14" s="48" customFormat="1" ht="14.25" customHeight="1" x14ac:dyDescent="0.2">
      <c r="A80" s="69" t="s">
        <v>200</v>
      </c>
      <c r="B80" s="50"/>
      <c r="C80" s="51"/>
      <c r="D80" s="52"/>
      <c r="E80" s="53"/>
      <c r="F80" s="52"/>
      <c r="G80" s="53"/>
      <c r="H80" s="52"/>
      <c r="I80" s="53"/>
      <c r="J80" s="52"/>
      <c r="K80" s="1163"/>
      <c r="L80" s="52"/>
      <c r="M80" s="51"/>
      <c r="N80" s="52"/>
    </row>
    <row r="81" spans="1:17" ht="12.95" customHeight="1" x14ac:dyDescent="0.2">
      <c r="A81" s="1818" t="s">
        <v>2031</v>
      </c>
      <c r="B81" s="1819"/>
      <c r="C81" s="1819"/>
      <c r="D81" s="1819"/>
      <c r="E81" s="1819"/>
      <c r="F81" s="1819"/>
      <c r="G81" s="1819"/>
      <c r="H81" s="1819"/>
      <c r="I81" s="1819"/>
      <c r="J81" s="1819"/>
      <c r="K81" s="1819"/>
      <c r="L81" s="1819"/>
      <c r="M81" s="1819"/>
      <c r="N81" s="1164"/>
      <c r="O81" s="54"/>
      <c r="P81" s="54"/>
    </row>
    <row r="82" spans="1:17" ht="12.95" customHeight="1" x14ac:dyDescent="0.2">
      <c r="A82" s="1818" t="s">
        <v>2032</v>
      </c>
      <c r="B82" s="1819"/>
      <c r="C82" s="1819"/>
      <c r="D82" s="1819"/>
      <c r="E82" s="1819"/>
      <c r="F82" s="1819"/>
      <c r="G82" s="1819"/>
      <c r="H82" s="1819"/>
      <c r="I82" s="1819"/>
      <c r="J82" s="1819"/>
      <c r="K82" s="1819"/>
      <c r="L82" s="1819"/>
      <c r="M82" s="1819"/>
      <c r="N82" s="1164"/>
      <c r="O82" s="54"/>
      <c r="P82" s="54"/>
    </row>
    <row r="83" spans="1:17" ht="12.95" customHeight="1" x14ac:dyDescent="0.2">
      <c r="A83" s="1165" t="s">
        <v>2033</v>
      </c>
      <c r="B83" s="1166"/>
      <c r="C83" s="1166"/>
      <c r="D83" s="1166"/>
      <c r="E83" s="1166"/>
      <c r="F83" s="1166"/>
      <c r="G83" s="1166"/>
      <c r="H83" s="1166"/>
      <c r="I83" s="1166"/>
      <c r="J83" s="1166"/>
      <c r="K83" s="1166"/>
      <c r="L83" s="1166"/>
      <c r="M83" s="1166"/>
      <c r="N83" s="1164"/>
      <c r="O83" s="54"/>
      <c r="P83" s="54"/>
    </row>
    <row r="84" spans="1:17" ht="24.95" customHeight="1" x14ac:dyDescent="0.2">
      <c r="A84" s="1818" t="s">
        <v>2034</v>
      </c>
      <c r="B84" s="1819"/>
      <c r="C84" s="1819"/>
      <c r="D84" s="1819"/>
      <c r="E84" s="1819"/>
      <c r="F84" s="1819"/>
      <c r="G84" s="1819"/>
      <c r="H84" s="1819"/>
      <c r="I84" s="1819"/>
      <c r="J84" s="1819"/>
      <c r="K84" s="1819"/>
      <c r="L84" s="1819"/>
      <c r="M84" s="1819"/>
      <c r="N84" s="1164"/>
      <c r="O84" s="54"/>
      <c r="P84" s="54"/>
    </row>
    <row r="85" spans="1:17" ht="12.95" customHeight="1" x14ac:dyDescent="0.2">
      <c r="A85" s="1818" t="s">
        <v>2035</v>
      </c>
      <c r="B85" s="1819"/>
      <c r="C85" s="1819"/>
      <c r="D85" s="1819"/>
      <c r="E85" s="1819"/>
      <c r="F85" s="1819"/>
      <c r="G85" s="1819"/>
      <c r="H85" s="1819"/>
      <c r="I85" s="1819"/>
      <c r="J85" s="1819"/>
      <c r="K85" s="1819"/>
      <c r="L85" s="1819"/>
      <c r="M85" s="1819"/>
      <c r="N85" s="1167"/>
      <c r="O85" s="54"/>
      <c r="P85" s="54"/>
    </row>
    <row r="86" spans="1:17" ht="24.95" customHeight="1" x14ac:dyDescent="0.2">
      <c r="A86" s="1818" t="s">
        <v>2036</v>
      </c>
      <c r="B86" s="1819"/>
      <c r="C86" s="1819"/>
      <c r="D86" s="1819"/>
      <c r="E86" s="1819"/>
      <c r="F86" s="1819"/>
      <c r="G86" s="1819"/>
      <c r="H86" s="1819"/>
      <c r="I86" s="1819"/>
      <c r="J86" s="1819"/>
      <c r="K86" s="1819"/>
      <c r="L86" s="1819"/>
      <c r="M86" s="1819"/>
      <c r="N86" s="1167"/>
      <c r="O86" s="54"/>
      <c r="P86" s="54"/>
    </row>
    <row r="87" spans="1:17" ht="66" customHeight="1" x14ac:dyDescent="0.2">
      <c r="A87" s="1818" t="s">
        <v>2037</v>
      </c>
      <c r="B87" s="1819"/>
      <c r="C87" s="1819"/>
      <c r="D87" s="1819"/>
      <c r="E87" s="1819"/>
      <c r="F87" s="1819"/>
      <c r="G87" s="1819"/>
      <c r="H87" s="1819"/>
      <c r="I87" s="1819"/>
      <c r="J87" s="1819"/>
      <c r="K87" s="1819"/>
      <c r="L87" s="1819"/>
      <c r="M87" s="1819"/>
      <c r="N87" s="1167"/>
      <c r="O87" s="54"/>
      <c r="P87" s="54"/>
    </row>
    <row r="88" spans="1:17" ht="24.95" customHeight="1" x14ac:dyDescent="0.2">
      <c r="A88" s="1752"/>
      <c r="B88" s="1817"/>
      <c r="C88" s="1817"/>
      <c r="D88" s="1817"/>
      <c r="E88" s="1817"/>
      <c r="F88" s="1817"/>
      <c r="G88" s="1817"/>
      <c r="H88" s="1817"/>
      <c r="I88" s="1817"/>
      <c r="J88" s="1817"/>
      <c r="K88" s="1817"/>
      <c r="L88" s="1817"/>
      <c r="M88" s="54"/>
      <c r="N88" s="54"/>
      <c r="O88" s="54"/>
      <c r="P88" s="54"/>
      <c r="Q88" s="57"/>
    </row>
    <row r="89" spans="1:17" x14ac:dyDescent="0.2">
      <c r="B89" s="25"/>
      <c r="C89" s="25"/>
      <c r="D89" s="25"/>
      <c r="E89" s="58"/>
      <c r="F89" s="58"/>
      <c r="G89" s="58"/>
      <c r="H89" s="58"/>
    </row>
    <row r="90" spans="1:17" x14ac:dyDescent="0.2">
      <c r="B90" s="25"/>
      <c r="C90" s="25"/>
      <c r="D90" s="25"/>
      <c r="E90" s="58"/>
      <c r="F90" s="58"/>
      <c r="G90" s="58"/>
      <c r="H90" s="58"/>
    </row>
    <row r="91" spans="1:17" x14ac:dyDescent="0.2">
      <c r="B91" s="25"/>
      <c r="C91" s="58"/>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58"/>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sheetData>
  <mergeCells count="8">
    <mergeCell ref="A88:L88"/>
    <mergeCell ref="K2:K3"/>
    <mergeCell ref="A81:M81"/>
    <mergeCell ref="A82:M82"/>
    <mergeCell ref="A84:M84"/>
    <mergeCell ref="A85:M85"/>
    <mergeCell ref="A86:M86"/>
    <mergeCell ref="A87:M87"/>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 right="0" top="0.25" bottom="0.25" header="0.3" footer="0.3"/>
  <pageSetup paperSize="5" scale="86" pageOrder="overThenDown" orientation="portrait" blackAndWhite="1" r:id="rId1"/>
  <headerFooter alignWithMargins="0">
    <oddFooter>&amp;L&amp;F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3">
    <pageSetUpPr fitToPage="1"/>
  </sheetPr>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214</v>
      </c>
      <c r="C3" s="10" t="s">
        <v>215</v>
      </c>
      <c r="D3" s="6"/>
      <c r="E3" s="11"/>
      <c r="F3" s="9"/>
      <c r="G3" s="11"/>
      <c r="H3" s="6"/>
      <c r="I3" s="11"/>
      <c r="J3" s="6"/>
      <c r="K3" s="1734"/>
      <c r="L3" s="6"/>
      <c r="M3" s="11"/>
      <c r="N3" s="6"/>
    </row>
    <row r="4" spans="1:16" s="4" customFormat="1" ht="15.75" x14ac:dyDescent="0.25">
      <c r="A4" s="1" t="s">
        <v>180</v>
      </c>
      <c r="B4" s="10" t="s">
        <v>216</v>
      </c>
      <c r="C4" s="10" t="s">
        <v>1</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row>
    <row r="11" spans="1:16" s="37" customFormat="1" x14ac:dyDescent="0.2">
      <c r="A11" s="35" t="s">
        <v>195</v>
      </c>
      <c r="B11" s="36"/>
    </row>
    <row r="12" spans="1:16" s="40" customFormat="1" x14ac:dyDescent="0.2">
      <c r="A12" s="38" t="s">
        <v>196</v>
      </c>
      <c r="B12" s="39"/>
    </row>
    <row r="13" spans="1:16" s="40" customFormat="1" x14ac:dyDescent="0.2">
      <c r="A13" s="41" t="s">
        <v>197</v>
      </c>
      <c r="B13" s="39"/>
      <c r="C13" s="70">
        <v>112</v>
      </c>
      <c r="D13" s="70"/>
      <c r="E13" s="70">
        <v>110</v>
      </c>
      <c r="F13" s="70"/>
      <c r="G13" s="70">
        <v>108</v>
      </c>
      <c r="H13" s="70"/>
      <c r="I13" s="70">
        <v>115</v>
      </c>
      <c r="J13" s="70"/>
      <c r="K13" s="70">
        <v>112</v>
      </c>
      <c r="M13" s="71"/>
    </row>
    <row r="14" spans="1:16" s="40" customFormat="1" x14ac:dyDescent="0.2">
      <c r="A14" s="41" t="s">
        <v>198</v>
      </c>
      <c r="B14" s="39"/>
      <c r="C14" s="70">
        <v>112</v>
      </c>
      <c r="D14" s="70"/>
      <c r="E14" s="70">
        <v>110</v>
      </c>
      <c r="F14" s="70"/>
      <c r="G14" s="70">
        <v>108</v>
      </c>
      <c r="H14" s="70"/>
      <c r="I14" s="70">
        <v>115</v>
      </c>
      <c r="J14" s="70"/>
      <c r="K14" s="70">
        <v>112</v>
      </c>
      <c r="M14" s="71"/>
    </row>
    <row r="15" spans="1:16" s="40" customFormat="1" x14ac:dyDescent="0.2">
      <c r="A15" s="38" t="s">
        <v>199</v>
      </c>
      <c r="B15" s="39"/>
      <c r="C15" s="70"/>
      <c r="D15" s="70"/>
      <c r="E15" s="70"/>
      <c r="F15" s="70"/>
      <c r="G15" s="70"/>
      <c r="H15" s="70"/>
      <c r="I15" s="70"/>
      <c r="J15" s="70"/>
      <c r="K15" s="70"/>
      <c r="M15" s="70"/>
    </row>
    <row r="16" spans="1:16" s="40" customFormat="1" x14ac:dyDescent="0.2">
      <c r="A16" s="41" t="s">
        <v>217</v>
      </c>
      <c r="B16" s="39"/>
      <c r="C16" s="70">
        <v>112</v>
      </c>
      <c r="D16" s="70"/>
      <c r="E16" s="70">
        <v>110</v>
      </c>
      <c r="F16" s="70"/>
      <c r="G16" s="70">
        <v>108</v>
      </c>
      <c r="H16" s="70"/>
      <c r="I16" s="70">
        <v>115</v>
      </c>
      <c r="J16" s="70"/>
      <c r="K16" s="70">
        <v>112</v>
      </c>
      <c r="M16" s="71"/>
    </row>
    <row r="17" spans="1:17" s="40" customFormat="1" x14ac:dyDescent="0.2">
      <c r="A17" s="41" t="s">
        <v>198</v>
      </c>
      <c r="B17" s="39"/>
      <c r="C17" s="70">
        <v>112</v>
      </c>
      <c r="D17" s="70"/>
      <c r="E17" s="70">
        <v>110</v>
      </c>
      <c r="F17" s="70"/>
      <c r="G17" s="70">
        <v>108</v>
      </c>
      <c r="H17" s="70"/>
      <c r="I17" s="70">
        <v>115</v>
      </c>
      <c r="J17" s="70"/>
      <c r="K17" s="70">
        <v>112</v>
      </c>
      <c r="M17" s="71"/>
    </row>
    <row r="18" spans="1:17" s="48" customFormat="1" x14ac:dyDescent="0.2">
      <c r="A18" s="46"/>
      <c r="B18" s="47"/>
      <c r="C18" s="72"/>
      <c r="D18" s="72"/>
      <c r="E18" s="72"/>
      <c r="F18" s="72"/>
      <c r="G18" s="72"/>
      <c r="I18" s="72"/>
    </row>
    <row r="19" spans="1:17" s="48" customFormat="1" x14ac:dyDescent="0.2">
      <c r="A19" s="49" t="s">
        <v>200</v>
      </c>
      <c r="B19" s="50"/>
      <c r="C19" s="51"/>
      <c r="D19" s="52"/>
      <c r="E19" s="53"/>
      <c r="F19" s="52"/>
      <c r="G19" s="53"/>
      <c r="H19" s="52"/>
      <c r="I19" s="53"/>
      <c r="J19" s="52"/>
      <c r="K19" s="53"/>
      <c r="L19" s="52"/>
      <c r="M19" s="51"/>
      <c r="N19" s="52"/>
    </row>
    <row r="20" spans="1:17" ht="27.75" customHeight="1" x14ac:dyDescent="0.2">
      <c r="A20" s="1738" t="s">
        <v>218</v>
      </c>
      <c r="B20" s="1736"/>
      <c r="C20" s="1737"/>
      <c r="D20" s="1736"/>
      <c r="E20" s="1737"/>
      <c r="F20" s="1736"/>
      <c r="G20" s="1737"/>
      <c r="H20" s="1736"/>
      <c r="I20" s="1737"/>
      <c r="J20" s="1736"/>
      <c r="K20" s="1737"/>
      <c r="L20" s="1736"/>
      <c r="M20" s="1737"/>
      <c r="N20" s="1736"/>
      <c r="O20" s="54"/>
      <c r="P20" s="54"/>
      <c r="Q20" s="951"/>
    </row>
    <row r="21" spans="1:17" ht="27.75" customHeight="1" x14ac:dyDescent="0.2">
      <c r="A21" s="1735"/>
      <c r="B21" s="1736"/>
      <c r="C21" s="1737"/>
      <c r="D21" s="1736"/>
      <c r="E21" s="1737"/>
      <c r="F21" s="1736"/>
      <c r="G21" s="1737"/>
      <c r="H21" s="1736"/>
      <c r="I21" s="1737"/>
      <c r="J21" s="1736"/>
      <c r="K21" s="1737"/>
      <c r="L21" s="1736"/>
      <c r="M21" s="1737"/>
      <c r="N21" s="1736"/>
      <c r="O21" s="54"/>
      <c r="P21" s="54"/>
    </row>
    <row r="22" spans="1:17" ht="27.75" customHeight="1" x14ac:dyDescent="0.2">
      <c r="A22" s="1735"/>
      <c r="B22" s="1736"/>
      <c r="C22" s="1737"/>
      <c r="D22" s="1736"/>
      <c r="E22" s="1737"/>
      <c r="F22" s="1736"/>
      <c r="G22" s="1737"/>
      <c r="H22" s="1736"/>
      <c r="I22" s="1737"/>
      <c r="J22" s="1736"/>
      <c r="K22" s="1737"/>
      <c r="L22" s="1736"/>
      <c r="M22" s="1737"/>
      <c r="N22" s="1736"/>
      <c r="O22" s="54"/>
      <c r="P22" s="54"/>
    </row>
    <row r="23" spans="1:17" ht="27.75" customHeight="1" x14ac:dyDescent="0.2">
      <c r="A23" s="1735"/>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ht="27.75" customHeight="1" x14ac:dyDescent="0.2">
      <c r="A25" s="1735"/>
      <c r="B25" s="1736"/>
      <c r="C25" s="1737"/>
      <c r="D25" s="1736"/>
      <c r="E25" s="1737"/>
      <c r="F25" s="1736"/>
      <c r="G25" s="1737"/>
      <c r="H25" s="1736"/>
      <c r="I25" s="1737"/>
      <c r="J25" s="1736"/>
      <c r="K25" s="1737"/>
      <c r="L25" s="1736"/>
      <c r="M25" s="1737"/>
      <c r="N25" s="1736"/>
      <c r="O25" s="54"/>
      <c r="P25" s="54"/>
    </row>
    <row r="26" spans="1:17" ht="27.75" customHeight="1" x14ac:dyDescent="0.2">
      <c r="A26" s="1735"/>
      <c r="B26" s="1736"/>
      <c r="C26" s="1737"/>
      <c r="D26" s="1736"/>
      <c r="E26" s="1737"/>
      <c r="F26" s="1736"/>
      <c r="G26" s="1737"/>
      <c r="H26" s="1736"/>
      <c r="I26" s="1737"/>
      <c r="J26" s="1736"/>
      <c r="K26" s="1737"/>
      <c r="L26" s="1736"/>
      <c r="M26" s="1737"/>
      <c r="N26" s="1736"/>
      <c r="O26" s="54"/>
      <c r="P26" s="54"/>
    </row>
    <row r="27" spans="1:17" ht="27.75" customHeight="1" x14ac:dyDescent="0.2">
      <c r="A27" s="1735"/>
      <c r="B27" s="1736"/>
      <c r="C27" s="1737"/>
      <c r="D27" s="1736"/>
      <c r="E27" s="1737"/>
      <c r="F27" s="1736"/>
      <c r="G27" s="1737"/>
      <c r="H27" s="1736"/>
      <c r="I27" s="1737"/>
      <c r="J27" s="1736"/>
      <c r="K27" s="1737"/>
      <c r="L27" s="1736"/>
      <c r="M27" s="1737"/>
      <c r="N27" s="1736"/>
      <c r="O27" s="54"/>
      <c r="P27" s="54"/>
    </row>
    <row r="28" spans="1:17" ht="27.75" customHeight="1" x14ac:dyDescent="0.2">
      <c r="A28" s="1735"/>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x14ac:dyDescent="0.2">
      <c r="A30" s="55"/>
      <c r="B30" s="54"/>
      <c r="C30" s="56"/>
      <c r="D30" s="54"/>
      <c r="E30" s="56"/>
      <c r="F30" s="54"/>
      <c r="G30" s="56"/>
      <c r="H30" s="54"/>
      <c r="I30" s="56"/>
      <c r="J30" s="54"/>
      <c r="K30" s="56"/>
      <c r="L30" s="54"/>
      <c r="M30" s="56"/>
      <c r="N30" s="54"/>
      <c r="O30" s="54"/>
      <c r="P30" s="54"/>
    </row>
    <row r="31" spans="1:17" x14ac:dyDescent="0.2">
      <c r="A31" s="55"/>
      <c r="B31" s="54"/>
      <c r="C31" s="54"/>
      <c r="D31" s="54"/>
      <c r="E31" s="54"/>
      <c r="F31" s="54"/>
      <c r="G31" s="54"/>
      <c r="H31" s="54"/>
      <c r="I31" s="54"/>
      <c r="J31" s="54"/>
      <c r="K31" s="54"/>
      <c r="L31" s="54"/>
      <c r="M31" s="54"/>
      <c r="N31" s="54"/>
      <c r="O31" s="54"/>
      <c r="P31" s="54"/>
    </row>
    <row r="32" spans="1:17" x14ac:dyDescent="0.2">
      <c r="A32" s="55"/>
      <c r="B32" s="54"/>
      <c r="C32" s="56"/>
      <c r="D32" s="54"/>
      <c r="E32" s="56"/>
      <c r="F32" s="54"/>
      <c r="G32" s="56"/>
      <c r="H32" s="54"/>
      <c r="I32" s="56"/>
      <c r="J32" s="54"/>
      <c r="K32" s="56"/>
      <c r="L32" s="54"/>
      <c r="M32" s="56"/>
      <c r="N32" s="54"/>
      <c r="O32" s="54"/>
      <c r="P32" s="54"/>
    </row>
    <row r="33" spans="1:17" x14ac:dyDescent="0.2">
      <c r="A33" s="55"/>
      <c r="B33" s="54"/>
      <c r="C33" s="54"/>
      <c r="D33" s="54"/>
      <c r="E33" s="54"/>
      <c r="F33" s="54"/>
      <c r="G33" s="54"/>
      <c r="H33" s="54"/>
      <c r="I33" s="54"/>
      <c r="J33" s="54"/>
      <c r="K33" s="54"/>
      <c r="L33" s="54"/>
      <c r="M33" s="54"/>
      <c r="N33" s="54"/>
      <c r="O33" s="54"/>
      <c r="P33" s="54"/>
    </row>
    <row r="34" spans="1:17" x14ac:dyDescent="0.2">
      <c r="A34" s="55"/>
      <c r="B34" s="54"/>
      <c r="C34" s="56"/>
      <c r="D34" s="54"/>
      <c r="E34" s="56"/>
      <c r="F34" s="54"/>
      <c r="G34" s="56"/>
      <c r="H34" s="54"/>
      <c r="I34" s="56"/>
      <c r="J34" s="54"/>
      <c r="K34" s="56"/>
      <c r="L34" s="54"/>
      <c r="M34" s="56"/>
      <c r="N34" s="54"/>
      <c r="O34" s="54"/>
      <c r="P34" s="54"/>
    </row>
    <row r="35" spans="1:17" x14ac:dyDescent="0.2">
      <c r="A35" s="55"/>
      <c r="B35" s="54"/>
      <c r="C35" s="54"/>
      <c r="D35" s="54"/>
      <c r="E35" s="54"/>
      <c r="F35" s="54"/>
      <c r="G35" s="54"/>
      <c r="H35" s="54"/>
      <c r="I35" s="54"/>
      <c r="J35" s="54"/>
      <c r="K35" s="54"/>
      <c r="L35" s="54"/>
      <c r="M35" s="54"/>
      <c r="N35" s="54"/>
      <c r="O35" s="54"/>
      <c r="P35" s="54"/>
    </row>
    <row r="36" spans="1:17" x14ac:dyDescent="0.2">
      <c r="A36" s="55"/>
      <c r="B36" s="54"/>
      <c r="C36" s="54"/>
      <c r="D36" s="54"/>
      <c r="E36" s="54"/>
      <c r="F36" s="54"/>
      <c r="G36" s="54"/>
      <c r="H36" s="54"/>
      <c r="I36" s="54"/>
      <c r="J36" s="54"/>
      <c r="K36" s="54"/>
      <c r="L36" s="54"/>
      <c r="M36" s="54"/>
      <c r="N36" s="54"/>
      <c r="O36" s="54"/>
      <c r="P36" s="54"/>
    </row>
    <row r="37" spans="1:17" x14ac:dyDescent="0.2">
      <c r="A37" s="55"/>
      <c r="B37" s="54"/>
      <c r="C37" s="54"/>
      <c r="D37" s="54"/>
      <c r="E37" s="54"/>
      <c r="F37" s="54"/>
      <c r="G37" s="54"/>
      <c r="H37" s="54"/>
      <c r="I37" s="54"/>
      <c r="J37" s="54"/>
      <c r="K37" s="54"/>
      <c r="L37" s="54"/>
      <c r="M37" s="54"/>
      <c r="N37" s="54"/>
      <c r="O37" s="54"/>
      <c r="P37" s="54"/>
      <c r="Q37" s="57"/>
    </row>
    <row r="38" spans="1:17" x14ac:dyDescent="0.2">
      <c r="B38" s="25"/>
      <c r="C38" s="25"/>
      <c r="D38" s="25"/>
      <c r="E38" s="58"/>
      <c r="F38" s="58"/>
      <c r="G38" s="58"/>
      <c r="H38" s="58"/>
    </row>
    <row r="39" spans="1:17" x14ac:dyDescent="0.2">
      <c r="B39" s="25"/>
      <c r="C39" s="25"/>
      <c r="D39" s="25"/>
      <c r="E39" s="58"/>
      <c r="F39" s="58"/>
      <c r="G39" s="58"/>
      <c r="H39" s="58"/>
    </row>
    <row r="40" spans="1:17" x14ac:dyDescent="0.2">
      <c r="B40" s="25"/>
      <c r="C40" s="25"/>
      <c r="D40" s="25"/>
      <c r="E40" s="58"/>
      <c r="F40" s="58"/>
      <c r="G40" s="58"/>
      <c r="H40" s="58"/>
    </row>
    <row r="41" spans="1:17" x14ac:dyDescent="0.2">
      <c r="B41" s="25"/>
      <c r="C41" s="25"/>
      <c r="D41" s="25"/>
      <c r="E41" s="58"/>
      <c r="F41" s="58"/>
      <c r="G41" s="58"/>
      <c r="H41" s="58"/>
    </row>
    <row r="42" spans="1:17" x14ac:dyDescent="0.2">
      <c r="B42" s="25"/>
      <c r="C42" s="25"/>
      <c r="D42" s="25"/>
      <c r="E42" s="58"/>
      <c r="F42" s="58"/>
      <c r="G42" s="58"/>
      <c r="H42" s="58"/>
    </row>
    <row r="43" spans="1:17" x14ac:dyDescent="0.2">
      <c r="B43" s="25"/>
      <c r="C43" s="25"/>
      <c r="D43" s="25"/>
      <c r="E43" s="58"/>
      <c r="F43" s="58"/>
      <c r="G43" s="58"/>
      <c r="H43" s="58"/>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sheetData>
  <mergeCells count="11">
    <mergeCell ref="A26:N26"/>
    <mergeCell ref="A27:N27"/>
    <mergeCell ref="A28:N28"/>
    <mergeCell ref="A29:N29"/>
    <mergeCell ref="K2:K3"/>
    <mergeCell ref="A20:N20"/>
    <mergeCell ref="A21:N21"/>
    <mergeCell ref="A22:N22"/>
    <mergeCell ref="A23:N23"/>
    <mergeCell ref="A24:N24"/>
    <mergeCell ref="A25:N25"/>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5" fitToHeight="99" pageOrder="overThenDown" orientation="portrait" blackAndWhite="1"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3">
    <pageSetUpPr fitToPage="1"/>
  </sheetPr>
  <dimension ref="A1:Q8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
      <c r="L4" s="6"/>
      <c r="M4" s="11"/>
      <c r="N4" s="6"/>
    </row>
    <row r="5" spans="1:16" s="4" customFormat="1" ht="15.75" x14ac:dyDescent="0.2">
      <c r="A5" s="1" t="s">
        <v>183</v>
      </c>
      <c r="B5" s="12" t="s">
        <v>2038</v>
      </c>
      <c r="C5" s="12" t="s">
        <v>49</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517</v>
      </c>
      <c r="B10" s="36"/>
    </row>
    <row r="11" spans="1:16" s="37" customFormat="1" x14ac:dyDescent="0.2">
      <c r="A11" s="35" t="s">
        <v>1968</v>
      </c>
      <c r="B11" s="36"/>
    </row>
    <row r="12" spans="1:16" s="40" customFormat="1" x14ac:dyDescent="0.2">
      <c r="A12" s="38" t="s">
        <v>2039</v>
      </c>
      <c r="B12" s="39"/>
      <c r="M12" s="97"/>
    </row>
    <row r="13" spans="1:16" s="40" customFormat="1" x14ac:dyDescent="0.2">
      <c r="A13" s="41" t="s">
        <v>1298</v>
      </c>
      <c r="B13" s="39"/>
      <c r="C13" s="126">
        <v>3729000</v>
      </c>
      <c r="E13" s="126">
        <v>307098</v>
      </c>
      <c r="G13" s="98"/>
      <c r="I13" s="97">
        <v>367851</v>
      </c>
      <c r="K13" s="98"/>
      <c r="M13" s="97"/>
    </row>
    <row r="14" spans="1:16" s="40" customFormat="1" x14ac:dyDescent="0.2">
      <c r="A14" s="41" t="s">
        <v>2018</v>
      </c>
      <c r="B14" s="39"/>
      <c r="C14" s="126">
        <v>65466000</v>
      </c>
      <c r="E14" s="126">
        <v>55380962</v>
      </c>
      <c r="G14" s="98"/>
      <c r="I14" s="97">
        <v>87949517</v>
      </c>
      <c r="K14" s="98"/>
      <c r="M14" s="97"/>
    </row>
    <row r="15" spans="1:16" s="40" customFormat="1" x14ac:dyDescent="0.2">
      <c r="A15" s="41" t="s">
        <v>2019</v>
      </c>
      <c r="B15" s="39"/>
      <c r="C15" s="126">
        <v>20235000</v>
      </c>
      <c r="E15" s="126">
        <v>17784049</v>
      </c>
      <c r="G15" s="98"/>
      <c r="I15" s="97">
        <v>450383</v>
      </c>
      <c r="K15" s="98"/>
      <c r="M15" s="97"/>
    </row>
    <row r="16" spans="1:16" s="40" customFormat="1" x14ac:dyDescent="0.2">
      <c r="A16" s="41" t="s">
        <v>2040</v>
      </c>
      <c r="B16" s="39"/>
      <c r="C16" s="126">
        <v>120000</v>
      </c>
      <c r="E16" s="126">
        <v>21815670</v>
      </c>
      <c r="G16" s="98"/>
      <c r="I16" s="97">
        <v>2570148</v>
      </c>
      <c r="K16" s="98"/>
      <c r="M16" s="97"/>
    </row>
    <row r="17" spans="1:17" s="40" customFormat="1" x14ac:dyDescent="0.2">
      <c r="A17" s="41" t="s">
        <v>2041</v>
      </c>
      <c r="B17" s="39"/>
      <c r="C17" s="126">
        <v>2512000</v>
      </c>
      <c r="E17" s="126">
        <v>103439</v>
      </c>
      <c r="G17" s="98"/>
      <c r="I17" s="97">
        <v>39705</v>
      </c>
      <c r="K17" s="98"/>
      <c r="M17" s="97"/>
    </row>
    <row r="18" spans="1:17" s="40" customFormat="1" x14ac:dyDescent="0.2">
      <c r="A18" s="41" t="s">
        <v>1968</v>
      </c>
      <c r="B18" s="39"/>
      <c r="C18" s="126">
        <v>0</v>
      </c>
      <c r="E18" s="126">
        <v>0</v>
      </c>
      <c r="G18" s="98"/>
      <c r="I18" s="97">
        <v>9161948</v>
      </c>
      <c r="K18" s="98"/>
      <c r="M18" s="97"/>
    </row>
    <row r="19" spans="1:17" s="40" customFormat="1" x14ac:dyDescent="0.2">
      <c r="A19" s="41" t="s">
        <v>2042</v>
      </c>
      <c r="B19" s="39"/>
      <c r="C19" s="126">
        <v>2000</v>
      </c>
      <c r="E19" s="126">
        <v>402069</v>
      </c>
      <c r="G19" s="98"/>
      <c r="I19" s="97">
        <v>4402131</v>
      </c>
      <c r="K19" s="98"/>
      <c r="M19" s="97"/>
    </row>
    <row r="20" spans="1:17" s="40" customFormat="1" x14ac:dyDescent="0.2">
      <c r="A20" s="90"/>
      <c r="B20" s="39"/>
    </row>
    <row r="21" spans="1:17" s="37" customFormat="1" x14ac:dyDescent="0.2">
      <c r="A21" s="35" t="s">
        <v>194</v>
      </c>
      <c r="B21" s="36"/>
    </row>
    <row r="22" spans="1:17" s="37" customFormat="1" x14ac:dyDescent="0.2">
      <c r="A22" s="35" t="s">
        <v>195</v>
      </c>
      <c r="B22" s="36"/>
    </row>
    <row r="23" spans="1:17" s="40" customFormat="1" x14ac:dyDescent="0.2">
      <c r="A23" s="41" t="s">
        <v>2030</v>
      </c>
      <c r="B23" s="39"/>
      <c r="C23" s="159">
        <v>404</v>
      </c>
      <c r="D23" s="74"/>
      <c r="E23" s="78">
        <v>404</v>
      </c>
      <c r="G23" s="78">
        <v>404</v>
      </c>
      <c r="I23" s="78">
        <v>404</v>
      </c>
      <c r="K23" s="76">
        <v>404</v>
      </c>
      <c r="M23" s="78"/>
    </row>
    <row r="24" spans="1:17" s="48" customFormat="1" x14ac:dyDescent="0.2">
      <c r="A24" s="46"/>
      <c r="B24" s="47"/>
    </row>
    <row r="25" spans="1:17" s="48" customFormat="1" x14ac:dyDescent="0.2">
      <c r="A25" s="49"/>
      <c r="B25" s="50"/>
      <c r="C25" s="51"/>
      <c r="D25" s="52"/>
      <c r="E25" s="53"/>
      <c r="F25" s="52"/>
      <c r="G25" s="53"/>
      <c r="H25" s="52"/>
      <c r="I25" s="53"/>
      <c r="J25" s="52"/>
      <c r="K25" s="53"/>
      <c r="L25" s="52"/>
      <c r="M25" s="51"/>
      <c r="N25" s="52"/>
    </row>
    <row r="26" spans="1:17" ht="99.95" customHeight="1" x14ac:dyDescent="0.2">
      <c r="A26" s="1738" t="s">
        <v>2043</v>
      </c>
      <c r="B26" s="1736"/>
      <c r="C26" s="1737"/>
      <c r="D26" s="1736"/>
      <c r="E26" s="1737"/>
      <c r="F26" s="1736"/>
      <c r="G26" s="1737"/>
      <c r="H26" s="1736"/>
      <c r="I26" s="1737"/>
      <c r="J26" s="1736"/>
      <c r="K26" s="1737"/>
      <c r="L26" s="1736"/>
      <c r="M26" s="1737"/>
      <c r="N26" s="1736"/>
      <c r="O26" s="54"/>
      <c r="P26" s="54"/>
      <c r="Q26" s="951"/>
    </row>
    <row r="27" spans="1:17" ht="27.75" customHeight="1" x14ac:dyDescent="0.2">
      <c r="A27" s="1755"/>
      <c r="B27" s="1736"/>
      <c r="C27" s="1737"/>
      <c r="D27" s="1736"/>
      <c r="E27" s="1737"/>
      <c r="F27" s="1736"/>
      <c r="G27" s="1737"/>
      <c r="H27" s="1736"/>
      <c r="I27" s="1737"/>
      <c r="J27" s="1736"/>
      <c r="K27" s="1737"/>
      <c r="L27" s="1736"/>
      <c r="M27" s="1737"/>
      <c r="N27" s="1736"/>
      <c r="O27" s="54"/>
      <c r="P27" s="54"/>
      <c r="Q27" s="951"/>
    </row>
    <row r="28" spans="1:17" ht="27.75" customHeight="1" x14ac:dyDescent="0.2">
      <c r="A28" s="1735"/>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ht="27.75" customHeight="1" x14ac:dyDescent="0.2">
      <c r="A30" s="1735"/>
      <c r="B30" s="1736"/>
      <c r="C30" s="1737"/>
      <c r="D30" s="1736"/>
      <c r="E30" s="1737"/>
      <c r="F30" s="1736"/>
      <c r="G30" s="1737"/>
      <c r="H30" s="1736"/>
      <c r="I30" s="1737"/>
      <c r="J30" s="1736"/>
      <c r="K30" s="1737"/>
      <c r="L30" s="1736"/>
      <c r="M30" s="1737"/>
      <c r="N30" s="1736"/>
      <c r="O30" s="54"/>
      <c r="P30" s="54"/>
    </row>
    <row r="31" spans="1:17" ht="27.75" customHeight="1" x14ac:dyDescent="0.2">
      <c r="A31" s="1735"/>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x14ac:dyDescent="0.2">
      <c r="A36" s="55"/>
      <c r="B36" s="54"/>
      <c r="C36" s="56"/>
      <c r="D36" s="54"/>
      <c r="E36" s="56"/>
      <c r="F36" s="54"/>
      <c r="G36" s="56"/>
      <c r="H36" s="54"/>
      <c r="I36" s="56"/>
      <c r="J36" s="54"/>
      <c r="K36" s="56"/>
      <c r="L36" s="54"/>
      <c r="M36" s="56"/>
      <c r="N36" s="54"/>
      <c r="O36" s="54"/>
      <c r="P36" s="54"/>
    </row>
    <row r="37" spans="1:17" x14ac:dyDescent="0.2">
      <c r="A37" s="55"/>
      <c r="B37" s="54"/>
      <c r="C37" s="54"/>
      <c r="D37" s="54"/>
      <c r="E37" s="54"/>
      <c r="F37" s="54"/>
      <c r="G37" s="54"/>
      <c r="H37" s="54"/>
      <c r="I37" s="54"/>
      <c r="J37" s="54"/>
      <c r="K37" s="54"/>
      <c r="L37" s="54"/>
      <c r="M37" s="54"/>
      <c r="N37" s="54"/>
      <c r="O37" s="54"/>
      <c r="P37" s="54"/>
    </row>
    <row r="38" spans="1:17" x14ac:dyDescent="0.2">
      <c r="A38" s="55"/>
      <c r="B38" s="54"/>
      <c r="C38" s="56"/>
      <c r="D38" s="54"/>
      <c r="E38" s="56"/>
      <c r="F38" s="54"/>
      <c r="G38" s="56"/>
      <c r="H38" s="54"/>
      <c r="I38" s="56"/>
      <c r="J38" s="54"/>
      <c r="K38" s="56"/>
      <c r="L38" s="54"/>
      <c r="M38" s="56"/>
      <c r="N38" s="54"/>
      <c r="O38" s="54"/>
      <c r="P38" s="54"/>
    </row>
    <row r="39" spans="1:17" x14ac:dyDescent="0.2">
      <c r="A39" s="55"/>
      <c r="B39" s="54"/>
      <c r="C39" s="54"/>
      <c r="D39" s="54"/>
      <c r="E39" s="54"/>
      <c r="F39" s="54"/>
      <c r="G39" s="54"/>
      <c r="H39" s="54"/>
      <c r="I39" s="54"/>
      <c r="J39" s="54"/>
      <c r="K39" s="54"/>
      <c r="L39" s="54"/>
      <c r="M39" s="54"/>
      <c r="N39" s="54"/>
      <c r="O39" s="54"/>
      <c r="P39" s="54"/>
    </row>
    <row r="40" spans="1:17" x14ac:dyDescent="0.2">
      <c r="A40" s="55"/>
      <c r="B40" s="54"/>
      <c r="C40" s="56"/>
      <c r="D40" s="54"/>
      <c r="E40" s="56"/>
      <c r="F40" s="54"/>
      <c r="G40" s="56"/>
      <c r="H40" s="54"/>
      <c r="I40" s="56"/>
      <c r="J40" s="54"/>
      <c r="K40" s="56"/>
      <c r="L40" s="54"/>
      <c r="M40" s="56"/>
      <c r="N40" s="54"/>
      <c r="O40" s="54"/>
      <c r="P40" s="54"/>
    </row>
    <row r="41" spans="1:17" x14ac:dyDescent="0.2">
      <c r="A41" s="55"/>
      <c r="B41" s="54"/>
      <c r="C41" s="54"/>
      <c r="D41" s="54"/>
      <c r="E41" s="54"/>
      <c r="F41" s="54"/>
      <c r="G41" s="54"/>
      <c r="H41" s="54"/>
      <c r="I41" s="54"/>
      <c r="J41" s="54"/>
      <c r="K41" s="54"/>
      <c r="L41" s="54"/>
      <c r="M41" s="54"/>
      <c r="N41" s="54"/>
      <c r="O41" s="54"/>
      <c r="P41" s="54"/>
    </row>
    <row r="42" spans="1:17" x14ac:dyDescent="0.2">
      <c r="A42" s="55"/>
      <c r="B42" s="54"/>
      <c r="C42" s="54"/>
      <c r="D42" s="54"/>
      <c r="E42" s="54"/>
      <c r="F42" s="54"/>
      <c r="G42" s="54"/>
      <c r="H42" s="54"/>
      <c r="I42" s="54"/>
      <c r="J42" s="54"/>
      <c r="K42" s="54"/>
      <c r="L42" s="54"/>
      <c r="M42" s="54"/>
      <c r="N42" s="54"/>
      <c r="O42" s="54"/>
      <c r="P42" s="54"/>
    </row>
    <row r="43" spans="1:17" x14ac:dyDescent="0.2">
      <c r="A43" s="55"/>
      <c r="B43" s="54"/>
      <c r="C43" s="54"/>
      <c r="D43" s="54"/>
      <c r="E43" s="54"/>
      <c r="F43" s="54"/>
      <c r="G43" s="54"/>
      <c r="H43" s="54"/>
      <c r="I43" s="54"/>
      <c r="J43" s="54"/>
      <c r="K43" s="54"/>
      <c r="L43" s="54"/>
      <c r="M43" s="54"/>
      <c r="N43" s="54"/>
      <c r="O43" s="54"/>
      <c r="P43" s="54"/>
      <c r="Q43" s="57"/>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sheetData>
  <mergeCells count="11">
    <mergeCell ref="A32:N32"/>
    <mergeCell ref="A33:N33"/>
    <mergeCell ref="A34:N34"/>
    <mergeCell ref="A35:N35"/>
    <mergeCell ref="K2:K3"/>
    <mergeCell ref="A26:N26"/>
    <mergeCell ref="A27:N27"/>
    <mergeCell ref="A28:N28"/>
    <mergeCell ref="A29:N29"/>
    <mergeCell ref="A30:N30"/>
    <mergeCell ref="A31:N31"/>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4">
    <pageSetUpPr fitToPage="1"/>
  </sheetPr>
  <dimension ref="A1:Q12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116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1152"/>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52"/>
      <c r="L4" s="6"/>
      <c r="M4" s="11"/>
      <c r="N4" s="6"/>
    </row>
    <row r="5" spans="1:16" s="4" customFormat="1" ht="15.75" x14ac:dyDescent="0.2">
      <c r="A5" s="1" t="s">
        <v>183</v>
      </c>
      <c r="B5" s="12" t="s">
        <v>2044</v>
      </c>
      <c r="C5" s="12" t="s">
        <v>50</v>
      </c>
      <c r="D5" s="13"/>
      <c r="E5" s="14"/>
      <c r="G5" s="14"/>
      <c r="I5" s="14"/>
      <c r="K5" s="1153"/>
      <c r="M5" s="14"/>
    </row>
    <row r="6" spans="1:16" s="4" customFormat="1" ht="15.75" x14ac:dyDescent="0.25">
      <c r="A6" s="15" t="s">
        <v>186</v>
      </c>
      <c r="B6" s="16">
        <v>4</v>
      </c>
      <c r="C6" s="17"/>
      <c r="D6" s="18"/>
      <c r="E6" s="19"/>
      <c r="F6" s="9"/>
      <c r="G6" s="8"/>
      <c r="H6" s="6"/>
      <c r="I6" s="8"/>
      <c r="J6" s="6"/>
      <c r="K6" s="1152"/>
      <c r="L6" s="6"/>
      <c r="M6" s="8"/>
      <c r="N6" s="6"/>
    </row>
    <row r="7" spans="1:16" s="24" customFormat="1" x14ac:dyDescent="0.2">
      <c r="A7" s="20"/>
      <c r="B7" s="21"/>
      <c r="C7" s="22"/>
      <c r="D7" s="23"/>
      <c r="E7" s="22"/>
      <c r="F7" s="23"/>
      <c r="G7" s="22"/>
      <c r="H7" s="23"/>
      <c r="I7" s="22"/>
      <c r="J7" s="23"/>
      <c r="K7" s="1154" t="s">
        <v>187</v>
      </c>
      <c r="L7" s="23"/>
      <c r="M7" s="22" t="s">
        <v>187</v>
      </c>
      <c r="N7" s="23"/>
    </row>
    <row r="8" spans="1:16" x14ac:dyDescent="0.2">
      <c r="C8" s="27" t="s">
        <v>188</v>
      </c>
      <c r="D8" s="28" t="s">
        <v>189</v>
      </c>
      <c r="E8" s="27" t="s">
        <v>188</v>
      </c>
      <c r="F8" s="28" t="s">
        <v>189</v>
      </c>
      <c r="G8" s="27" t="s">
        <v>190</v>
      </c>
      <c r="H8" s="28" t="s">
        <v>189</v>
      </c>
      <c r="I8" s="27" t="s">
        <v>191</v>
      </c>
      <c r="J8" s="28" t="s">
        <v>189</v>
      </c>
      <c r="K8" s="1155"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1156" t="str">
        <f>"FY " &amp; FiscalYear</f>
        <v>FY 2019</v>
      </c>
      <c r="L9" s="33" t="s">
        <v>193</v>
      </c>
      <c r="M9" s="34" t="str">
        <f>"FY " &amp; FiscalYear + 1</f>
        <v>FY 2020</v>
      </c>
      <c r="N9" s="33" t="s">
        <v>193</v>
      </c>
    </row>
    <row r="10" spans="1:16" s="37" customFormat="1" x14ac:dyDescent="0.2">
      <c r="A10" s="35" t="s">
        <v>222</v>
      </c>
      <c r="B10" s="36"/>
      <c r="C10" s="141"/>
      <c r="E10" s="141"/>
      <c r="I10" s="141"/>
      <c r="K10" s="141"/>
    </row>
    <row r="11" spans="1:16" s="37" customFormat="1" x14ac:dyDescent="0.2">
      <c r="A11" s="35" t="s">
        <v>1968</v>
      </c>
      <c r="B11" s="36"/>
      <c r="C11" s="141"/>
      <c r="E11" s="141"/>
      <c r="I11" s="141"/>
      <c r="K11" s="141"/>
    </row>
    <row r="12" spans="1:16" s="40" customFormat="1" x14ac:dyDescent="0.2">
      <c r="A12" s="38" t="s">
        <v>1969</v>
      </c>
      <c r="B12" s="39"/>
      <c r="C12" s="159">
        <f>C14+C20</f>
        <v>6523</v>
      </c>
      <c r="E12" s="159">
        <f>E14+E20</f>
        <v>6478</v>
      </c>
      <c r="G12" s="159">
        <f>G14+G20</f>
        <v>6667</v>
      </c>
      <c r="I12" s="159">
        <f>I14+I20</f>
        <v>6858</v>
      </c>
      <c r="K12" s="159">
        <f>K14+K20</f>
        <v>6858</v>
      </c>
      <c r="M12" s="76"/>
    </row>
    <row r="13" spans="1:16" s="40" customFormat="1" x14ac:dyDescent="0.2">
      <c r="A13" s="38" t="s">
        <v>1970</v>
      </c>
      <c r="B13" s="39"/>
      <c r="C13" s="159">
        <f>C15+C21</f>
        <v>5322</v>
      </c>
      <c r="E13" s="159">
        <f>E15+E21</f>
        <v>5340</v>
      </c>
      <c r="G13" s="159">
        <f>G15+G21</f>
        <v>5455</v>
      </c>
      <c r="I13" s="159">
        <f>I15+I21</f>
        <v>5679</v>
      </c>
      <c r="K13" s="159">
        <f>K15+K21</f>
        <v>5679</v>
      </c>
      <c r="M13" s="112"/>
    </row>
    <row r="14" spans="1:16" s="40" customFormat="1" x14ac:dyDescent="0.2">
      <c r="A14" s="41" t="s">
        <v>1971</v>
      </c>
      <c r="B14" s="39"/>
      <c r="C14" s="159">
        <f>C16+C18</f>
        <v>4846</v>
      </c>
      <c r="E14" s="159">
        <f>E16+E18</f>
        <v>4892</v>
      </c>
      <c r="G14" s="159">
        <f>G16+G18</f>
        <v>4967</v>
      </c>
      <c r="I14" s="159">
        <f>I16+I18</f>
        <v>5349</v>
      </c>
      <c r="K14" s="159">
        <f>K16+K18</f>
        <v>5349</v>
      </c>
      <c r="M14" s="112"/>
    </row>
    <row r="15" spans="1:16" s="40" customFormat="1" x14ac:dyDescent="0.2">
      <c r="A15" s="41" t="s">
        <v>1972</v>
      </c>
      <c r="B15" s="39"/>
      <c r="C15" s="159">
        <f>C17+C19</f>
        <v>3980</v>
      </c>
      <c r="E15" s="159">
        <f>E17+E19</f>
        <v>4081</v>
      </c>
      <c r="G15" s="159">
        <f>G17+G19</f>
        <v>4093</v>
      </c>
      <c r="I15" s="159">
        <f>I17+I19</f>
        <v>4492</v>
      </c>
      <c r="K15" s="159">
        <f>K17+K19</f>
        <v>4492</v>
      </c>
      <c r="M15" s="112"/>
    </row>
    <row r="16" spans="1:16" s="40" customFormat="1" x14ac:dyDescent="0.2">
      <c r="A16" s="90" t="s">
        <v>1973</v>
      </c>
      <c r="B16" s="39"/>
      <c r="C16" s="1157">
        <v>3865</v>
      </c>
      <c r="E16" s="1157">
        <v>3961</v>
      </c>
      <c r="G16" s="1157">
        <v>3989</v>
      </c>
      <c r="I16" s="1157">
        <v>4388</v>
      </c>
      <c r="K16" s="1157">
        <v>4388</v>
      </c>
      <c r="M16" s="112"/>
    </row>
    <row r="17" spans="1:13" s="40" customFormat="1" x14ac:dyDescent="0.2">
      <c r="A17" s="90" t="s">
        <v>1974</v>
      </c>
      <c r="B17" s="39"/>
      <c r="C17" s="1157">
        <v>3582</v>
      </c>
      <c r="E17" s="1157">
        <v>3704</v>
      </c>
      <c r="G17" s="1157">
        <v>3696</v>
      </c>
      <c r="I17" s="1157">
        <v>4103</v>
      </c>
      <c r="K17" s="1157">
        <v>4103</v>
      </c>
      <c r="M17" s="112"/>
    </row>
    <row r="18" spans="1:13" s="40" customFormat="1" x14ac:dyDescent="0.2">
      <c r="A18" s="90" t="s">
        <v>1975</v>
      </c>
      <c r="B18" s="39"/>
      <c r="C18" s="1157">
        <v>981</v>
      </c>
      <c r="E18" s="1157">
        <v>931</v>
      </c>
      <c r="G18" s="1157">
        <v>978</v>
      </c>
      <c r="I18" s="1157">
        <v>961</v>
      </c>
      <c r="K18" s="1157">
        <v>961</v>
      </c>
      <c r="M18" s="112"/>
    </row>
    <row r="19" spans="1:13" s="40" customFormat="1" x14ac:dyDescent="0.2">
      <c r="A19" s="90" t="s">
        <v>1976</v>
      </c>
      <c r="B19" s="39"/>
      <c r="C19" s="1157">
        <v>398</v>
      </c>
      <c r="E19" s="1157">
        <v>377</v>
      </c>
      <c r="G19" s="1157">
        <v>397</v>
      </c>
      <c r="I19" s="1157">
        <v>389</v>
      </c>
      <c r="K19" s="1157">
        <v>389</v>
      </c>
      <c r="M19" s="112"/>
    </row>
    <row r="20" spans="1:13" s="40" customFormat="1" x14ac:dyDescent="0.2">
      <c r="A20" s="41" t="s">
        <v>1977</v>
      </c>
      <c r="B20" s="39"/>
      <c r="C20" s="159">
        <f>C22+C24</f>
        <v>1677</v>
      </c>
      <c r="E20" s="159">
        <f>E22+E24</f>
        <v>1586</v>
      </c>
      <c r="G20" s="159">
        <f>G22+G24</f>
        <v>1700</v>
      </c>
      <c r="I20" s="159">
        <f>I22+I24</f>
        <v>1509</v>
      </c>
      <c r="K20" s="159">
        <f>K22+K24</f>
        <v>1509</v>
      </c>
      <c r="M20" s="112"/>
    </row>
    <row r="21" spans="1:13" s="40" customFormat="1" x14ac:dyDescent="0.2">
      <c r="A21" s="41" t="s">
        <v>1978</v>
      </c>
      <c r="B21" s="39"/>
      <c r="C21" s="159">
        <f>C23+C25</f>
        <v>1342</v>
      </c>
      <c r="E21" s="159">
        <f>E23+E25</f>
        <v>1259</v>
      </c>
      <c r="G21" s="159">
        <f>G23+G25</f>
        <v>1362</v>
      </c>
      <c r="I21" s="159">
        <f>I23+I25</f>
        <v>1187</v>
      </c>
      <c r="K21" s="159">
        <f>K23+K25</f>
        <v>1187</v>
      </c>
      <c r="M21" s="112"/>
    </row>
    <row r="22" spans="1:13" s="40" customFormat="1" x14ac:dyDescent="0.2">
      <c r="A22" s="90" t="s">
        <v>1973</v>
      </c>
      <c r="B22" s="39"/>
      <c r="C22" s="1157">
        <v>851</v>
      </c>
      <c r="E22" s="1157">
        <v>759</v>
      </c>
      <c r="G22" s="1157">
        <v>865</v>
      </c>
      <c r="I22" s="1157">
        <v>694</v>
      </c>
      <c r="K22" s="1157">
        <v>694</v>
      </c>
      <c r="M22" s="112"/>
    </row>
    <row r="23" spans="1:13" s="40" customFormat="1" x14ac:dyDescent="0.2">
      <c r="A23" s="90" t="s">
        <v>1974</v>
      </c>
      <c r="B23" s="39"/>
      <c r="C23" s="1157">
        <v>846</v>
      </c>
      <c r="E23" s="1157">
        <v>757</v>
      </c>
      <c r="G23" s="1157">
        <v>860</v>
      </c>
      <c r="I23" s="1157">
        <v>692</v>
      </c>
      <c r="K23" s="1157">
        <v>692</v>
      </c>
      <c r="M23" s="112"/>
    </row>
    <row r="24" spans="1:13" s="40" customFormat="1" x14ac:dyDescent="0.2">
      <c r="A24" s="90" t="s">
        <v>1975</v>
      </c>
      <c r="B24" s="39"/>
      <c r="C24" s="1157">
        <v>826</v>
      </c>
      <c r="E24" s="1157">
        <v>827</v>
      </c>
      <c r="G24" s="1157">
        <v>835</v>
      </c>
      <c r="I24" s="1157">
        <v>815</v>
      </c>
      <c r="K24" s="1157">
        <v>815</v>
      </c>
      <c r="M24" s="112"/>
    </row>
    <row r="25" spans="1:13" s="40" customFormat="1" x14ac:dyDescent="0.2">
      <c r="A25" s="90" t="s">
        <v>1976</v>
      </c>
      <c r="B25" s="39"/>
      <c r="C25" s="1157">
        <v>496</v>
      </c>
      <c r="E25" s="1157">
        <v>502</v>
      </c>
      <c r="G25" s="1157">
        <v>502</v>
      </c>
      <c r="I25" s="1157">
        <v>495</v>
      </c>
      <c r="K25" s="1157">
        <v>495</v>
      </c>
      <c r="M25" s="112"/>
    </row>
    <row r="26" spans="1:13" s="40" customFormat="1" x14ac:dyDescent="0.2">
      <c r="A26" s="41" t="s">
        <v>1979</v>
      </c>
      <c r="B26" s="39"/>
      <c r="C26" s="1157">
        <v>2292</v>
      </c>
      <c r="E26" s="1157">
        <v>2230</v>
      </c>
      <c r="G26" s="1157">
        <v>2292</v>
      </c>
      <c r="I26" s="1157">
        <v>2230</v>
      </c>
      <c r="K26" s="1157">
        <v>2230</v>
      </c>
      <c r="M26" s="112"/>
    </row>
    <row r="27" spans="1:13" s="40" customFormat="1" x14ac:dyDescent="0.2">
      <c r="A27" s="38" t="s">
        <v>1981</v>
      </c>
      <c r="B27" s="39"/>
      <c r="C27" s="112">
        <v>73</v>
      </c>
      <c r="E27" s="112">
        <v>73</v>
      </c>
      <c r="G27" s="112">
        <v>73</v>
      </c>
      <c r="I27" s="112">
        <v>74</v>
      </c>
      <c r="K27" s="112">
        <v>76</v>
      </c>
      <c r="M27" s="76"/>
    </row>
    <row r="28" spans="1:13" s="40" customFormat="1" x14ac:dyDescent="0.2">
      <c r="A28" s="38" t="s">
        <v>1982</v>
      </c>
      <c r="B28" s="39"/>
      <c r="C28" s="112">
        <v>1374</v>
      </c>
      <c r="E28" s="112">
        <v>1377</v>
      </c>
      <c r="G28" s="112">
        <v>1388</v>
      </c>
      <c r="I28" s="112">
        <v>1390</v>
      </c>
      <c r="K28" s="112">
        <v>1390</v>
      </c>
      <c r="M28" s="76"/>
    </row>
    <row r="29" spans="1:13" s="40" customFormat="1" x14ac:dyDescent="0.2">
      <c r="A29" s="38" t="s">
        <v>2045</v>
      </c>
      <c r="B29" s="39"/>
      <c r="C29" s="118"/>
      <c r="E29" s="118"/>
      <c r="G29" s="118"/>
      <c r="I29" s="118"/>
      <c r="K29" s="118"/>
      <c r="M29" s="63"/>
    </row>
    <row r="30" spans="1:13" s="40" customFormat="1" x14ac:dyDescent="0.2">
      <c r="A30" s="41" t="s">
        <v>1984</v>
      </c>
      <c r="B30" s="39"/>
      <c r="C30" s="1157">
        <v>1398</v>
      </c>
      <c r="E30" s="1157">
        <v>1312</v>
      </c>
      <c r="G30" s="1157">
        <v>1400</v>
      </c>
      <c r="I30" s="1157">
        <v>1400</v>
      </c>
      <c r="K30" s="1157">
        <v>1400</v>
      </c>
      <c r="M30" s="76"/>
    </row>
    <row r="31" spans="1:13" s="40" customFormat="1" x14ac:dyDescent="0.2">
      <c r="A31" s="41" t="s">
        <v>1985</v>
      </c>
      <c r="B31" s="39"/>
      <c r="C31" s="1157">
        <v>300</v>
      </c>
      <c r="E31" s="1157">
        <v>291</v>
      </c>
      <c r="G31" s="1157">
        <v>310</v>
      </c>
      <c r="I31" s="1157">
        <v>300</v>
      </c>
      <c r="K31" s="1157">
        <v>300</v>
      </c>
      <c r="M31" s="76"/>
    </row>
    <row r="32" spans="1:13" s="40" customFormat="1" x14ac:dyDescent="0.2">
      <c r="A32" s="41" t="s">
        <v>1986</v>
      </c>
      <c r="B32" s="39"/>
      <c r="C32" s="1157">
        <v>182</v>
      </c>
      <c r="E32" s="1157">
        <v>215</v>
      </c>
      <c r="G32" s="1157">
        <v>185</v>
      </c>
      <c r="I32" s="1157">
        <v>220</v>
      </c>
      <c r="K32" s="1157">
        <v>220</v>
      </c>
      <c r="M32" s="76"/>
    </row>
    <row r="33" spans="1:13" s="40" customFormat="1" x14ac:dyDescent="0.2">
      <c r="A33" s="38" t="s">
        <v>2046</v>
      </c>
      <c r="B33" s="39"/>
      <c r="C33" s="1159" t="s">
        <v>2047</v>
      </c>
      <c r="E33" s="1159" t="s">
        <v>2047</v>
      </c>
      <c r="G33" s="1159" t="s">
        <v>2047</v>
      </c>
      <c r="I33" s="1159" t="s">
        <v>2048</v>
      </c>
      <c r="K33" s="1159" t="s">
        <v>2048</v>
      </c>
      <c r="M33" s="76"/>
    </row>
    <row r="34" spans="1:13" s="40" customFormat="1" ht="25.5" x14ac:dyDescent="0.2">
      <c r="A34" s="39" t="s">
        <v>1993</v>
      </c>
      <c r="B34" s="39"/>
      <c r="C34" s="112">
        <v>366</v>
      </c>
      <c r="E34" s="112">
        <v>567</v>
      </c>
      <c r="G34" s="77"/>
      <c r="I34" s="112">
        <v>570</v>
      </c>
      <c r="K34" s="112"/>
      <c r="M34" s="77"/>
    </row>
    <row r="35" spans="1:13" s="40" customFormat="1" x14ac:dyDescent="0.2">
      <c r="A35" s="41" t="s">
        <v>1994</v>
      </c>
      <c r="B35" s="39"/>
      <c r="C35" s="1181" t="s">
        <v>2049</v>
      </c>
      <c r="E35" s="1181" t="s">
        <v>2050</v>
      </c>
      <c r="G35" s="1078"/>
      <c r="I35" s="1181" t="s">
        <v>2051</v>
      </c>
      <c r="K35" s="1181"/>
      <c r="M35" s="1078"/>
    </row>
    <row r="36" spans="1:13" s="40" customFormat="1" x14ac:dyDescent="0.2">
      <c r="A36" s="41" t="s">
        <v>1998</v>
      </c>
      <c r="B36" s="39"/>
      <c r="C36" s="1181" t="s">
        <v>2052</v>
      </c>
      <c r="E36" s="1181" t="s">
        <v>2053</v>
      </c>
      <c r="G36" s="1078"/>
      <c r="I36" s="1181" t="s">
        <v>2054</v>
      </c>
      <c r="K36" s="1181"/>
      <c r="M36" s="1078"/>
    </row>
    <row r="37" spans="1:13" s="40" customFormat="1" hidden="1" x14ac:dyDescent="0.2">
      <c r="A37" s="41" t="s">
        <v>2001</v>
      </c>
      <c r="B37" s="39"/>
      <c r="C37" s="1181" t="s">
        <v>2002</v>
      </c>
      <c r="E37" s="1181" t="s">
        <v>2002</v>
      </c>
      <c r="G37" s="1078"/>
      <c r="I37" s="1181" t="s">
        <v>2002</v>
      </c>
      <c r="K37" s="1181"/>
      <c r="M37" s="1078"/>
    </row>
    <row r="38" spans="1:13" s="40" customFormat="1" x14ac:dyDescent="0.2">
      <c r="A38" s="41" t="s">
        <v>2003</v>
      </c>
      <c r="B38" s="39"/>
      <c r="C38" s="1160">
        <f>C35+C36+C37</f>
        <v>1049</v>
      </c>
      <c r="E38" s="1160">
        <f>E35+E36+E37</f>
        <v>1029</v>
      </c>
      <c r="G38" s="70"/>
      <c r="I38" s="1160">
        <f>I35+I36+I37</f>
        <v>1125</v>
      </c>
      <c r="K38" s="1160"/>
      <c r="M38" s="70"/>
    </row>
    <row r="39" spans="1:13" s="40" customFormat="1" x14ac:dyDescent="0.2">
      <c r="A39" s="38" t="s">
        <v>2055</v>
      </c>
      <c r="B39" s="39"/>
      <c r="C39" s="118"/>
      <c r="E39" s="118"/>
      <c r="I39" s="118"/>
      <c r="K39" s="118"/>
    </row>
    <row r="40" spans="1:13" s="40" customFormat="1" x14ac:dyDescent="0.2">
      <c r="A40" s="41" t="s">
        <v>2005</v>
      </c>
      <c r="B40" s="39"/>
      <c r="C40" s="391">
        <v>0.872</v>
      </c>
      <c r="E40" s="391">
        <v>0.879</v>
      </c>
      <c r="G40" s="101"/>
      <c r="I40" s="391"/>
      <c r="K40" s="391"/>
      <c r="M40" s="101"/>
    </row>
    <row r="41" spans="1:13" s="40" customFormat="1" x14ac:dyDescent="0.2">
      <c r="A41" s="41" t="s">
        <v>2006</v>
      </c>
      <c r="B41" s="39"/>
      <c r="C41" s="391">
        <v>0.57799999999999996</v>
      </c>
      <c r="E41" s="391">
        <v>0.56999999999999995</v>
      </c>
      <c r="G41" s="101"/>
      <c r="I41" s="391"/>
      <c r="K41" s="391"/>
      <c r="M41" s="101"/>
    </row>
    <row r="42" spans="1:13" s="40" customFormat="1" x14ac:dyDescent="0.2">
      <c r="A42" s="38" t="s">
        <v>2056</v>
      </c>
      <c r="B42" s="39"/>
      <c r="C42" s="118"/>
      <c r="E42" s="118"/>
      <c r="I42" s="118"/>
      <c r="K42" s="118"/>
    </row>
    <row r="43" spans="1:13" s="40" customFormat="1" x14ac:dyDescent="0.2">
      <c r="A43" s="124" t="s">
        <v>2057</v>
      </c>
      <c r="B43" s="39"/>
      <c r="C43" s="126">
        <v>31982</v>
      </c>
      <c r="E43" s="126">
        <v>32347</v>
      </c>
      <c r="G43" s="98"/>
      <c r="I43" s="126">
        <v>33769</v>
      </c>
      <c r="K43" s="126"/>
      <c r="M43" s="98"/>
    </row>
    <row r="44" spans="1:13" s="40" customFormat="1" x14ac:dyDescent="0.2">
      <c r="A44" s="124" t="s">
        <v>2009</v>
      </c>
      <c r="B44" s="39"/>
      <c r="C44" s="126">
        <v>11217</v>
      </c>
      <c r="E44" s="126">
        <v>11408</v>
      </c>
      <c r="G44" s="98"/>
      <c r="I44" s="126">
        <v>11619</v>
      </c>
      <c r="K44" s="126"/>
      <c r="M44" s="98"/>
    </row>
    <row r="45" spans="1:13" s="40" customFormat="1" x14ac:dyDescent="0.2">
      <c r="A45" s="124" t="s">
        <v>2010</v>
      </c>
      <c r="B45" s="39"/>
      <c r="C45" s="126">
        <v>26107</v>
      </c>
      <c r="E45" s="126">
        <v>26551</v>
      </c>
      <c r="G45" s="98"/>
      <c r="I45" s="126">
        <v>27042</v>
      </c>
      <c r="K45" s="126"/>
      <c r="M45" s="98"/>
    </row>
    <row r="46" spans="1:13" s="40" customFormat="1" x14ac:dyDescent="0.2">
      <c r="A46" s="124" t="s">
        <v>2011</v>
      </c>
      <c r="B46" s="39"/>
      <c r="C46" s="126">
        <v>2914</v>
      </c>
      <c r="E46" s="126">
        <v>2914</v>
      </c>
      <c r="G46" s="98"/>
      <c r="I46" s="126">
        <v>3018</v>
      </c>
      <c r="K46" s="126"/>
      <c r="M46" s="98"/>
    </row>
    <row r="47" spans="1:13" s="40" customFormat="1" x14ac:dyDescent="0.2">
      <c r="A47" s="41"/>
      <c r="B47" s="39"/>
      <c r="C47" s="118"/>
      <c r="E47" s="118"/>
      <c r="I47" s="118"/>
      <c r="K47" s="118"/>
      <c r="M47" s="1077"/>
    </row>
    <row r="48" spans="1:13" s="37" customFormat="1" x14ac:dyDescent="0.2">
      <c r="A48" s="35" t="s">
        <v>517</v>
      </c>
      <c r="B48" s="36"/>
      <c r="C48" s="141"/>
      <c r="E48" s="141"/>
      <c r="I48" s="141"/>
      <c r="K48" s="141"/>
    </row>
    <row r="49" spans="1:13" s="37" customFormat="1" x14ac:dyDescent="0.2">
      <c r="A49" s="35" t="s">
        <v>1968</v>
      </c>
      <c r="B49" s="36"/>
      <c r="C49" s="141"/>
      <c r="E49" s="141"/>
      <c r="I49" s="141"/>
      <c r="K49" s="141"/>
    </row>
    <row r="50" spans="1:13" s="40" customFormat="1" x14ac:dyDescent="0.2">
      <c r="A50" s="38" t="s">
        <v>2058</v>
      </c>
      <c r="B50" s="39"/>
      <c r="C50" s="118"/>
      <c r="E50" s="118"/>
      <c r="I50" s="118"/>
      <c r="K50" s="118"/>
    </row>
    <row r="51" spans="1:13" s="40" customFormat="1" x14ac:dyDescent="0.2">
      <c r="A51" s="41" t="s">
        <v>1298</v>
      </c>
      <c r="B51" s="39"/>
      <c r="C51" s="1170">
        <v>71960000</v>
      </c>
      <c r="E51" s="1170">
        <v>67436250</v>
      </c>
      <c r="G51" s="1171"/>
      <c r="I51" s="1170">
        <v>76157660</v>
      </c>
      <c r="K51" s="1170"/>
      <c r="M51" s="1171"/>
    </row>
    <row r="52" spans="1:13" s="40" customFormat="1" x14ac:dyDescent="0.2">
      <c r="A52" s="41" t="s">
        <v>2018</v>
      </c>
      <c r="B52" s="39"/>
      <c r="C52" s="1170">
        <v>15653000</v>
      </c>
      <c r="E52" s="1170">
        <v>2810083</v>
      </c>
      <c r="G52" s="1171"/>
      <c r="I52" s="1170">
        <v>3834172</v>
      </c>
      <c r="K52" s="1170"/>
      <c r="M52" s="1171"/>
    </row>
    <row r="53" spans="1:13" s="40" customFormat="1" x14ac:dyDescent="0.2">
      <c r="A53" s="41" t="s">
        <v>2019</v>
      </c>
      <c r="B53" s="39"/>
      <c r="C53" s="1170">
        <v>2350000</v>
      </c>
      <c r="E53" s="1170">
        <v>14375916</v>
      </c>
      <c r="G53" s="1171"/>
      <c r="I53" s="1170">
        <v>13473439</v>
      </c>
      <c r="K53" s="1170"/>
      <c r="M53" s="1171"/>
    </row>
    <row r="54" spans="1:13" s="40" customFormat="1" x14ac:dyDescent="0.2">
      <c r="A54" s="41" t="s">
        <v>2020</v>
      </c>
      <c r="B54" s="39"/>
      <c r="C54" s="1170">
        <v>6694000</v>
      </c>
      <c r="E54" s="1170">
        <v>25639635</v>
      </c>
      <c r="G54" s="1171"/>
      <c r="I54" s="1170">
        <v>39099468</v>
      </c>
      <c r="K54" s="1170"/>
      <c r="M54" s="1171"/>
    </row>
    <row r="55" spans="1:13" s="40" customFormat="1" x14ac:dyDescent="0.2">
      <c r="A55" s="41" t="s">
        <v>2021</v>
      </c>
      <c r="B55" s="39"/>
      <c r="C55" s="1170">
        <v>25740000</v>
      </c>
      <c r="E55" s="1170">
        <v>54582060</v>
      </c>
      <c r="G55" s="1171"/>
      <c r="I55" s="1170">
        <v>68060885</v>
      </c>
      <c r="K55" s="1170"/>
      <c r="M55" s="1171"/>
    </row>
    <row r="56" spans="1:13" s="40" customFormat="1" x14ac:dyDescent="0.2">
      <c r="A56" s="41" t="s">
        <v>2022</v>
      </c>
      <c r="B56" s="39"/>
      <c r="C56" s="1170">
        <v>7533000</v>
      </c>
      <c r="E56" s="1170">
        <v>6773520</v>
      </c>
      <c r="G56" s="1171"/>
      <c r="I56" s="1170">
        <v>17362676</v>
      </c>
      <c r="K56" s="1170"/>
      <c r="M56" s="1171"/>
    </row>
    <row r="57" spans="1:13" s="40" customFormat="1" x14ac:dyDescent="0.2">
      <c r="A57" s="41" t="s">
        <v>2023</v>
      </c>
      <c r="B57" s="39"/>
      <c r="C57" s="1170">
        <v>18762000</v>
      </c>
      <c r="E57" s="1170">
        <v>778032</v>
      </c>
      <c r="G57" s="1171"/>
      <c r="I57" s="1170">
        <v>9206896</v>
      </c>
      <c r="K57" s="1170"/>
      <c r="M57" s="1171"/>
    </row>
    <row r="58" spans="1:13" s="40" customFormat="1" hidden="1" x14ac:dyDescent="0.2">
      <c r="A58" s="38" t="s">
        <v>2024</v>
      </c>
      <c r="B58" s="39"/>
      <c r="C58" s="118"/>
      <c r="E58" s="118"/>
      <c r="I58" s="118"/>
      <c r="K58" s="118"/>
      <c r="M58" s="97"/>
    </row>
    <row r="59" spans="1:13" s="40" customFormat="1" hidden="1" x14ac:dyDescent="0.2">
      <c r="A59" s="41" t="s">
        <v>2059</v>
      </c>
      <c r="B59" s="39"/>
      <c r="C59" s="126">
        <v>200000</v>
      </c>
      <c r="E59" s="126">
        <v>200000</v>
      </c>
      <c r="G59" s="97">
        <v>200000</v>
      </c>
      <c r="I59" s="126">
        <v>200000</v>
      </c>
      <c r="K59" s="126"/>
      <c r="M59" s="97"/>
    </row>
    <row r="60" spans="1:13" s="40" customFormat="1" hidden="1" x14ac:dyDescent="0.2">
      <c r="A60" s="41" t="s">
        <v>2060</v>
      </c>
      <c r="B60" s="39"/>
      <c r="C60" s="126"/>
      <c r="E60" s="126">
        <v>1000000</v>
      </c>
      <c r="G60" s="98"/>
      <c r="I60" s="126"/>
      <c r="K60" s="126"/>
      <c r="M60" s="97"/>
    </row>
    <row r="61" spans="1:13" s="40" customFormat="1" ht="13.5" hidden="1" x14ac:dyDescent="0.25">
      <c r="A61" s="41" t="s">
        <v>2061</v>
      </c>
      <c r="B61" s="39"/>
      <c r="C61" s="126"/>
      <c r="E61" s="126"/>
      <c r="F61" s="1172"/>
      <c r="G61" s="98"/>
      <c r="I61" s="126">
        <v>5000000</v>
      </c>
      <c r="J61" s="1173"/>
      <c r="K61" s="126"/>
      <c r="L61" s="1172"/>
      <c r="M61" s="97"/>
    </row>
    <row r="62" spans="1:13" s="37" customFormat="1" x14ac:dyDescent="0.2">
      <c r="A62" s="90"/>
      <c r="B62" s="39"/>
      <c r="C62" s="141"/>
      <c r="E62" s="141"/>
      <c r="I62" s="141"/>
      <c r="K62" s="141"/>
    </row>
    <row r="63" spans="1:13" s="37" customFormat="1" x14ac:dyDescent="0.2">
      <c r="A63" s="35" t="s">
        <v>194</v>
      </c>
      <c r="B63" s="36"/>
      <c r="C63" s="141"/>
      <c r="E63" s="141"/>
      <c r="I63" s="141"/>
      <c r="K63" s="141"/>
    </row>
    <row r="64" spans="1:13" s="37" customFormat="1" x14ac:dyDescent="0.2">
      <c r="A64" s="35" t="s">
        <v>195</v>
      </c>
      <c r="B64" s="36"/>
      <c r="C64" s="141"/>
      <c r="E64" s="141"/>
      <c r="I64" s="141"/>
      <c r="K64" s="141"/>
    </row>
    <row r="65" spans="1:16" s="37" customFormat="1" x14ac:dyDescent="0.2">
      <c r="A65" s="41" t="s">
        <v>2030</v>
      </c>
      <c r="B65" s="39"/>
      <c r="C65" s="159">
        <v>559</v>
      </c>
      <c r="D65" s="78"/>
      <c r="E65" s="159">
        <v>559</v>
      </c>
      <c r="F65" s="78"/>
      <c r="G65" s="78">
        <v>559</v>
      </c>
      <c r="H65" s="78"/>
      <c r="I65" s="159">
        <v>559</v>
      </c>
      <c r="J65" s="78"/>
      <c r="K65" s="159">
        <v>559</v>
      </c>
      <c r="M65" s="78"/>
    </row>
    <row r="66" spans="1:16" s="40" customFormat="1" x14ac:dyDescent="0.2">
      <c r="A66" s="35"/>
      <c r="B66" s="36"/>
      <c r="K66" s="89"/>
    </row>
    <row r="67" spans="1:16" s="37" customFormat="1" x14ac:dyDescent="0.2">
      <c r="A67" s="46"/>
      <c r="B67" s="47"/>
    </row>
    <row r="68" spans="1:16" s="48" customFormat="1" ht="14.25" customHeight="1" x14ac:dyDescent="0.2">
      <c r="A68" s="69" t="s">
        <v>200</v>
      </c>
      <c r="B68" s="50"/>
      <c r="C68" s="51"/>
      <c r="D68" s="52"/>
      <c r="E68" s="53"/>
      <c r="F68" s="52"/>
      <c r="G68" s="53"/>
      <c r="H68" s="52"/>
      <c r="I68" s="53"/>
      <c r="J68" s="52"/>
      <c r="K68" s="1163"/>
      <c r="L68" s="52"/>
      <c r="M68" s="51"/>
      <c r="N68" s="52"/>
    </row>
    <row r="69" spans="1:16" ht="15.75" customHeight="1" x14ac:dyDescent="0.2">
      <c r="A69" s="1818" t="s">
        <v>2031</v>
      </c>
      <c r="B69" s="1819"/>
      <c r="C69" s="1819"/>
      <c r="D69" s="1819"/>
      <c r="E69" s="1819"/>
      <c r="F69" s="1819"/>
      <c r="G69" s="1819"/>
      <c r="H69" s="1819"/>
      <c r="I69" s="1819"/>
      <c r="J69" s="1819"/>
      <c r="K69" s="1819"/>
      <c r="L69" s="1819"/>
      <c r="M69" s="1819"/>
      <c r="N69" s="1164"/>
      <c r="O69" s="54"/>
      <c r="P69" s="54"/>
    </row>
    <row r="70" spans="1:16" ht="15.75" customHeight="1" x14ac:dyDescent="0.2">
      <c r="A70" s="1818" t="s">
        <v>2062</v>
      </c>
      <c r="B70" s="1819"/>
      <c r="C70" s="1819"/>
      <c r="D70" s="1819"/>
      <c r="E70" s="1819"/>
      <c r="F70" s="1819"/>
      <c r="G70" s="1819"/>
      <c r="H70" s="1819"/>
      <c r="I70" s="1819"/>
      <c r="J70" s="1819"/>
      <c r="K70" s="1819"/>
      <c r="L70" s="1819"/>
      <c r="M70" s="1819"/>
      <c r="N70" s="1164"/>
      <c r="O70" s="54"/>
      <c r="P70" s="54"/>
    </row>
    <row r="71" spans="1:16" ht="15" customHeight="1" x14ac:dyDescent="0.2">
      <c r="A71" s="1818" t="s">
        <v>2063</v>
      </c>
      <c r="B71" s="1819"/>
      <c r="C71" s="1819"/>
      <c r="D71" s="1819"/>
      <c r="E71" s="1819"/>
      <c r="F71" s="1819"/>
      <c r="G71" s="1819"/>
      <c r="H71" s="1819"/>
      <c r="I71" s="1819"/>
      <c r="J71" s="1819"/>
      <c r="K71" s="1819"/>
      <c r="L71" s="1819"/>
      <c r="M71" s="1819"/>
      <c r="N71" s="1164"/>
      <c r="O71" s="54"/>
      <c r="P71" s="54"/>
    </row>
    <row r="72" spans="1:16" ht="15.75" customHeight="1" x14ac:dyDescent="0.2">
      <c r="A72" s="1818" t="s">
        <v>2064</v>
      </c>
      <c r="B72" s="1819"/>
      <c r="C72" s="1819"/>
      <c r="D72" s="1819"/>
      <c r="E72" s="1819"/>
      <c r="F72" s="1819"/>
      <c r="G72" s="1819"/>
      <c r="H72" s="1819"/>
      <c r="I72" s="1819"/>
      <c r="J72" s="1819"/>
      <c r="K72" s="1819"/>
      <c r="L72" s="1819"/>
      <c r="M72" s="1819"/>
      <c r="N72" s="1167"/>
      <c r="O72" s="54"/>
      <c r="P72" s="54"/>
    </row>
    <row r="73" spans="1:16" ht="27" customHeight="1" x14ac:dyDescent="0.2">
      <c r="A73" s="1818" t="s">
        <v>2065</v>
      </c>
      <c r="B73" s="1819"/>
      <c r="C73" s="1819"/>
      <c r="D73" s="1819"/>
      <c r="E73" s="1819"/>
      <c r="F73" s="1819"/>
      <c r="G73" s="1819"/>
      <c r="H73" s="1819"/>
      <c r="I73" s="1819"/>
      <c r="J73" s="1819"/>
      <c r="K73" s="1819"/>
      <c r="L73" s="1819"/>
      <c r="M73" s="1819"/>
      <c r="N73" s="1167"/>
      <c r="O73" s="54"/>
      <c r="P73" s="54"/>
    </row>
    <row r="74" spans="1:16" ht="65.099999999999994" customHeight="1" x14ac:dyDescent="0.2">
      <c r="A74" s="1818" t="s">
        <v>2066</v>
      </c>
      <c r="B74" s="1819"/>
      <c r="C74" s="1819"/>
      <c r="D74" s="1819"/>
      <c r="E74" s="1819"/>
      <c r="F74" s="1819"/>
      <c r="G74" s="1819"/>
      <c r="H74" s="1819"/>
      <c r="I74" s="1819"/>
      <c r="J74" s="1819"/>
      <c r="K74" s="1819"/>
      <c r="L74" s="1819"/>
      <c r="M74" s="1819"/>
      <c r="N74" s="1167"/>
      <c r="O74" s="54"/>
      <c r="P74" s="54"/>
    </row>
    <row r="75" spans="1:16" ht="27" customHeight="1" x14ac:dyDescent="0.2">
      <c r="A75" s="1818"/>
      <c r="B75" s="1819"/>
      <c r="C75" s="1819"/>
      <c r="D75" s="1819"/>
      <c r="E75" s="1819"/>
      <c r="F75" s="1819"/>
      <c r="G75" s="1819"/>
      <c r="H75" s="1819"/>
      <c r="I75" s="1819"/>
      <c r="J75" s="1819"/>
      <c r="K75" s="1819"/>
      <c r="L75" s="1819"/>
      <c r="M75" s="1819"/>
      <c r="N75" s="1167"/>
      <c r="O75" s="54"/>
      <c r="P75" s="54"/>
    </row>
    <row r="76" spans="1:16" ht="15" x14ac:dyDescent="0.25">
      <c r="A76" s="55"/>
      <c r="B76" s="54"/>
      <c r="C76" s="54"/>
      <c r="D76" s="54"/>
      <c r="E76" s="54"/>
      <c r="F76" s="54"/>
      <c r="G76" s="54"/>
      <c r="H76" s="54"/>
      <c r="I76" s="54"/>
      <c r="J76" s="54"/>
      <c r="K76" s="1174"/>
      <c r="L76" s="54"/>
      <c r="M76" s="54"/>
      <c r="N76" s="54"/>
      <c r="O76" s="54"/>
      <c r="P76" s="54"/>
    </row>
    <row r="77" spans="1:16" ht="15" x14ac:dyDescent="0.25">
      <c r="A77" s="55"/>
      <c r="B77" s="54"/>
      <c r="C77" s="56"/>
      <c r="D77" s="54"/>
      <c r="E77" s="56"/>
      <c r="F77" s="54"/>
      <c r="G77" s="56"/>
      <c r="H77" s="54"/>
      <c r="I77" s="56"/>
      <c r="J77" s="54"/>
      <c r="K77" s="1174"/>
      <c r="L77" s="54"/>
      <c r="M77" s="56"/>
      <c r="N77" s="54"/>
      <c r="O77" s="54"/>
      <c r="P77" s="54"/>
    </row>
    <row r="78" spans="1:16" ht="15" x14ac:dyDescent="0.25">
      <c r="A78" s="55"/>
      <c r="B78" s="54"/>
      <c r="C78" s="54"/>
      <c r="D78" s="54"/>
      <c r="E78" s="54"/>
      <c r="F78" s="54"/>
      <c r="G78" s="54"/>
      <c r="H78" s="54"/>
      <c r="I78" s="54"/>
      <c r="J78" s="54"/>
      <c r="K78" s="1174"/>
      <c r="L78" s="54"/>
      <c r="M78" s="54"/>
      <c r="N78" s="54"/>
      <c r="O78" s="54"/>
      <c r="P78" s="54"/>
    </row>
    <row r="79" spans="1:16" ht="15" x14ac:dyDescent="0.25">
      <c r="A79" s="55"/>
      <c r="B79" s="54"/>
      <c r="C79" s="56"/>
      <c r="D79" s="54"/>
      <c r="E79" s="56"/>
      <c r="F79" s="54"/>
      <c r="G79" s="56"/>
      <c r="H79" s="54"/>
      <c r="I79" s="56"/>
      <c r="J79" s="54"/>
      <c r="K79" s="1174"/>
      <c r="L79" s="54"/>
      <c r="M79" s="56"/>
      <c r="N79" s="54"/>
      <c r="O79" s="54"/>
      <c r="P79" s="54"/>
    </row>
    <row r="80" spans="1:16" ht="15" x14ac:dyDescent="0.25">
      <c r="A80" s="55"/>
      <c r="B80" s="54"/>
      <c r="C80" s="54"/>
      <c r="D80" s="54"/>
      <c r="E80" s="54"/>
      <c r="F80" s="54"/>
      <c r="G80" s="54"/>
      <c r="H80" s="54"/>
      <c r="I80" s="54"/>
      <c r="J80" s="54"/>
      <c r="K80" s="1174"/>
      <c r="L80" s="54"/>
      <c r="M80" s="54"/>
      <c r="N80" s="54"/>
      <c r="O80" s="54"/>
      <c r="P80" s="54"/>
    </row>
    <row r="81" spans="1:17" ht="15" x14ac:dyDescent="0.25">
      <c r="A81" s="55"/>
      <c r="B81" s="54"/>
      <c r="C81" s="54"/>
      <c r="D81" s="54"/>
      <c r="E81" s="54"/>
      <c r="F81" s="54"/>
      <c r="G81" s="54"/>
      <c r="H81" s="54"/>
      <c r="I81" s="54"/>
      <c r="J81" s="54"/>
      <c r="K81" s="1174"/>
      <c r="L81" s="54"/>
      <c r="M81" s="54"/>
      <c r="N81" s="54"/>
      <c r="O81" s="54"/>
      <c r="P81" s="54"/>
    </row>
    <row r="82" spans="1:17" ht="15" x14ac:dyDescent="0.25">
      <c r="A82" s="55"/>
      <c r="B82" s="54"/>
      <c r="C82" s="54"/>
      <c r="D82" s="54"/>
      <c r="E82" s="54"/>
      <c r="F82" s="54"/>
      <c r="G82" s="54"/>
      <c r="H82" s="54"/>
      <c r="I82" s="54"/>
      <c r="J82" s="54"/>
      <c r="K82" s="1174"/>
      <c r="L82" s="54"/>
      <c r="M82" s="54"/>
      <c r="N82" s="54"/>
      <c r="O82" s="54"/>
      <c r="P82" s="54"/>
      <c r="Q82" s="57"/>
    </row>
    <row r="83" spans="1:17" x14ac:dyDescent="0.2">
      <c r="B83" s="25"/>
      <c r="C83" s="25"/>
      <c r="D83" s="25"/>
      <c r="E83" s="58"/>
      <c r="F83" s="58"/>
      <c r="G83" s="58"/>
      <c r="H83" s="58"/>
    </row>
    <row r="84" spans="1:17" x14ac:dyDescent="0.2">
      <c r="B84" s="25"/>
      <c r="C84" s="25"/>
      <c r="D84" s="25"/>
      <c r="E84" s="58"/>
      <c r="F84" s="58"/>
      <c r="G84" s="58"/>
      <c r="H84" s="58"/>
    </row>
    <row r="85" spans="1:17" x14ac:dyDescent="0.2">
      <c r="B85" s="25"/>
      <c r="C85" s="58"/>
      <c r="D85" s="25"/>
      <c r="E85" s="58"/>
      <c r="F85" s="58"/>
      <c r="G85" s="58"/>
      <c r="H85" s="58"/>
    </row>
    <row r="86" spans="1:17" x14ac:dyDescent="0.2">
      <c r="B86" s="25"/>
      <c r="C86" s="25"/>
      <c r="D86" s="25"/>
      <c r="E86" s="58"/>
      <c r="F86" s="58"/>
      <c r="G86" s="58"/>
      <c r="H86" s="58"/>
    </row>
    <row r="87" spans="1:17" x14ac:dyDescent="0.2">
      <c r="B87" s="25"/>
      <c r="C87" s="25"/>
      <c r="D87" s="25"/>
      <c r="E87" s="58"/>
      <c r="F87" s="58"/>
      <c r="G87" s="58"/>
      <c r="H87" s="58"/>
    </row>
    <row r="88" spans="1:17" x14ac:dyDescent="0.2">
      <c r="B88" s="25"/>
      <c r="C88" s="25"/>
      <c r="D88" s="25"/>
      <c r="E88" s="58"/>
      <c r="F88" s="58"/>
      <c r="G88" s="58"/>
      <c r="H88" s="58"/>
    </row>
    <row r="89" spans="1:17" x14ac:dyDescent="0.2">
      <c r="B89" s="25"/>
      <c r="C89" s="25"/>
      <c r="D89" s="25"/>
      <c r="E89" s="58"/>
      <c r="F89" s="58"/>
      <c r="G89" s="58"/>
      <c r="H89" s="58"/>
    </row>
    <row r="90" spans="1:17" x14ac:dyDescent="0.2">
      <c r="B90" s="25"/>
      <c r="C90" s="25"/>
      <c r="D90" s="25"/>
      <c r="E90" s="58"/>
      <c r="F90" s="58"/>
      <c r="G90" s="58"/>
      <c r="H90" s="58"/>
    </row>
    <row r="91" spans="1:17" x14ac:dyDescent="0.2">
      <c r="B91" s="25"/>
      <c r="C91" s="25"/>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58"/>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row r="127" spans="2:2" x14ac:dyDescent="0.2">
      <c r="B127" s="25"/>
    </row>
    <row r="128" spans="2:2" x14ac:dyDescent="0.2">
      <c r="B128" s="25"/>
    </row>
  </sheetData>
  <mergeCells count="8">
    <mergeCell ref="A75:M75"/>
    <mergeCell ref="K2:K3"/>
    <mergeCell ref="A69:M69"/>
    <mergeCell ref="A70:M70"/>
    <mergeCell ref="A71:M71"/>
    <mergeCell ref="A72:M72"/>
    <mergeCell ref="A73:M73"/>
    <mergeCell ref="A74:M74"/>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75" right="0" top="1.25" bottom="0.75" header="0.3" footer="0.3"/>
  <pageSetup scale="80" fitToHeight="99" pageOrder="overThenDown" orientation="portrait" blackAndWhite="1" r:id="rId1"/>
  <headerFooter alignWithMargins="0">
    <oddFooter>&amp;L&amp;F
&amp;D</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5">
    <pageSetUpPr fitToPage="1"/>
  </sheetPr>
  <dimension ref="A1:Q126"/>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85546875" style="60" customWidth="1"/>
    <col min="11" max="11" width="13.7109375" style="116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1152"/>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52"/>
      <c r="L4" s="6"/>
      <c r="M4" s="11"/>
      <c r="N4" s="6"/>
    </row>
    <row r="5" spans="1:16" s="4" customFormat="1" ht="15.75" x14ac:dyDescent="0.2">
      <c r="A5" s="1" t="s">
        <v>183</v>
      </c>
      <c r="B5" s="12" t="s">
        <v>2067</v>
      </c>
      <c r="C5" s="12" t="s">
        <v>51</v>
      </c>
      <c r="D5" s="13"/>
      <c r="E5" s="14"/>
      <c r="G5" s="14"/>
      <c r="I5" s="14"/>
      <c r="K5" s="1153"/>
      <c r="M5" s="14"/>
    </row>
    <row r="6" spans="1:16" s="4" customFormat="1" ht="15.75" x14ac:dyDescent="0.25">
      <c r="A6" s="15" t="s">
        <v>186</v>
      </c>
      <c r="B6" s="16">
        <v>4</v>
      </c>
      <c r="C6" s="17"/>
      <c r="D6" s="18"/>
      <c r="E6" s="19"/>
      <c r="F6" s="9"/>
      <c r="G6" s="8"/>
      <c r="H6" s="6"/>
      <c r="I6" s="8"/>
      <c r="J6" s="6"/>
      <c r="K6" s="1152"/>
      <c r="L6" s="6"/>
      <c r="M6" s="8"/>
      <c r="N6" s="6"/>
    </row>
    <row r="7" spans="1:16" s="24" customFormat="1" x14ac:dyDescent="0.2">
      <c r="A7" s="20"/>
      <c r="B7" s="21"/>
      <c r="C7" s="22"/>
      <c r="D7" s="23"/>
      <c r="E7" s="22"/>
      <c r="F7" s="23"/>
      <c r="G7" s="22"/>
      <c r="H7" s="23"/>
      <c r="I7" s="22"/>
      <c r="J7" s="23"/>
      <c r="K7" s="1154" t="s">
        <v>187</v>
      </c>
      <c r="L7" s="23"/>
      <c r="M7" s="22" t="s">
        <v>187</v>
      </c>
      <c r="N7" s="23"/>
    </row>
    <row r="8" spans="1:16" x14ac:dyDescent="0.2">
      <c r="C8" s="27" t="s">
        <v>188</v>
      </c>
      <c r="D8" s="28" t="s">
        <v>189</v>
      </c>
      <c r="E8" s="27" t="s">
        <v>188</v>
      </c>
      <c r="F8" s="28" t="s">
        <v>189</v>
      </c>
      <c r="G8" s="27" t="s">
        <v>190</v>
      </c>
      <c r="H8" s="28" t="s">
        <v>189</v>
      </c>
      <c r="I8" s="27" t="s">
        <v>191</v>
      </c>
      <c r="J8" s="28" t="s">
        <v>189</v>
      </c>
      <c r="K8" s="1155"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1156"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1968</v>
      </c>
      <c r="B11" s="36"/>
    </row>
    <row r="12" spans="1:16" s="40" customFormat="1" x14ac:dyDescent="0.2">
      <c r="A12" s="38" t="s">
        <v>2068</v>
      </c>
      <c r="B12" s="39"/>
      <c r="C12" s="159">
        <f>C14+C20</f>
        <v>11210</v>
      </c>
      <c r="E12" s="159">
        <f>E14+E20</f>
        <v>11950</v>
      </c>
      <c r="G12" s="159">
        <f>G14+G20</f>
        <v>11129</v>
      </c>
      <c r="I12" s="159">
        <f>I14+I20</f>
        <v>12360</v>
      </c>
      <c r="K12" s="159">
        <f>K14+K20</f>
        <v>12360</v>
      </c>
      <c r="M12" s="76"/>
    </row>
    <row r="13" spans="1:16" s="40" customFormat="1" x14ac:dyDescent="0.2">
      <c r="A13" s="38" t="s">
        <v>2069</v>
      </c>
      <c r="B13" s="39"/>
      <c r="C13" s="159">
        <f>C15+C21</f>
        <v>9100</v>
      </c>
      <c r="E13" s="159">
        <f>E15+E21</f>
        <v>9776</v>
      </c>
      <c r="G13" s="159">
        <f>G15+G21</f>
        <v>9063</v>
      </c>
      <c r="I13" s="159">
        <f>I15+I21</f>
        <v>10187</v>
      </c>
      <c r="K13" s="159">
        <f>K15+K21</f>
        <v>10187</v>
      </c>
      <c r="M13" s="112"/>
    </row>
    <row r="14" spans="1:16" s="40" customFormat="1" x14ac:dyDescent="0.2">
      <c r="A14" s="41" t="s">
        <v>1971</v>
      </c>
      <c r="B14" s="39"/>
      <c r="C14" s="159">
        <f>C16+C18</f>
        <v>7569</v>
      </c>
      <c r="E14" s="159">
        <f>E16+E18</f>
        <v>8066</v>
      </c>
      <c r="G14" s="159">
        <f>G16+G18</f>
        <v>8008</v>
      </c>
      <c r="I14" s="159">
        <f>I16+I18</f>
        <v>8426</v>
      </c>
      <c r="K14" s="159">
        <f>K16+K18</f>
        <v>8426</v>
      </c>
      <c r="M14" s="112"/>
    </row>
    <row r="15" spans="1:16" s="40" customFormat="1" x14ac:dyDescent="0.2">
      <c r="A15" s="41" t="s">
        <v>2070</v>
      </c>
      <c r="B15" s="39"/>
      <c r="C15" s="159">
        <f>C17+C19</f>
        <v>6053</v>
      </c>
      <c r="E15" s="159">
        <f>E17+E19</f>
        <v>6672</v>
      </c>
      <c r="G15" s="159">
        <f>G17+G19</f>
        <v>6455</v>
      </c>
      <c r="I15" s="159">
        <f>I17+I19</f>
        <v>7055</v>
      </c>
      <c r="K15" s="159">
        <f>K17+K19</f>
        <v>7055</v>
      </c>
      <c r="M15" s="112"/>
    </row>
    <row r="16" spans="1:16" s="40" customFormat="1" x14ac:dyDescent="0.2">
      <c r="A16" s="90" t="s">
        <v>1973</v>
      </c>
      <c r="B16" s="39"/>
      <c r="C16" s="1157">
        <v>5982</v>
      </c>
      <c r="E16" s="1157">
        <v>6478</v>
      </c>
      <c r="G16" s="1157">
        <v>6433</v>
      </c>
      <c r="I16" s="1157">
        <v>6945</v>
      </c>
      <c r="K16" s="1157">
        <v>6945</v>
      </c>
      <c r="M16" s="112"/>
    </row>
    <row r="17" spans="1:13" s="40" customFormat="1" x14ac:dyDescent="0.2">
      <c r="A17" s="90" t="s">
        <v>2071</v>
      </c>
      <c r="B17" s="39"/>
      <c r="C17" s="1157">
        <v>5394</v>
      </c>
      <c r="E17" s="1157">
        <v>5973</v>
      </c>
      <c r="G17" s="1157">
        <v>5801</v>
      </c>
      <c r="I17" s="1157">
        <v>6403</v>
      </c>
      <c r="K17" s="1157">
        <v>6403</v>
      </c>
      <c r="M17" s="112"/>
    </row>
    <row r="18" spans="1:13" s="40" customFormat="1" x14ac:dyDescent="0.2">
      <c r="A18" s="90" t="s">
        <v>1975</v>
      </c>
      <c r="B18" s="39"/>
      <c r="C18" s="1157">
        <v>1587</v>
      </c>
      <c r="E18" s="1157">
        <v>1588</v>
      </c>
      <c r="G18" s="1157">
        <v>1575</v>
      </c>
      <c r="I18" s="1157">
        <v>1481</v>
      </c>
      <c r="K18" s="1157">
        <v>1481</v>
      </c>
      <c r="M18" s="112"/>
    </row>
    <row r="19" spans="1:13" s="40" customFormat="1" x14ac:dyDescent="0.2">
      <c r="A19" s="90" t="s">
        <v>2072</v>
      </c>
      <c r="B19" s="39"/>
      <c r="C19" s="1157">
        <v>659</v>
      </c>
      <c r="E19" s="1157">
        <v>699</v>
      </c>
      <c r="G19" s="1157">
        <v>654</v>
      </c>
      <c r="I19" s="1157">
        <v>652</v>
      </c>
      <c r="K19" s="1157">
        <v>652</v>
      </c>
      <c r="M19" s="112"/>
    </row>
    <row r="20" spans="1:13" s="40" customFormat="1" x14ac:dyDescent="0.2">
      <c r="A20" s="41" t="s">
        <v>1977</v>
      </c>
      <c r="B20" s="39"/>
      <c r="C20" s="159">
        <f>C22+C24</f>
        <v>3641</v>
      </c>
      <c r="E20" s="159">
        <f>E22+E24</f>
        <v>3884</v>
      </c>
      <c r="G20" s="159">
        <f>G22+G24</f>
        <v>3121</v>
      </c>
      <c r="I20" s="159">
        <f>I22+I24</f>
        <v>3934</v>
      </c>
      <c r="K20" s="159">
        <f>K22+K24</f>
        <v>3934</v>
      </c>
      <c r="M20" s="112"/>
    </row>
    <row r="21" spans="1:13" s="40" customFormat="1" x14ac:dyDescent="0.2">
      <c r="A21" s="41" t="s">
        <v>2073</v>
      </c>
      <c r="B21" s="39"/>
      <c r="C21" s="159">
        <f>C23+C25</f>
        <v>3047</v>
      </c>
      <c r="E21" s="159">
        <f>E23+E25</f>
        <v>3104</v>
      </c>
      <c r="G21" s="159">
        <f>G23+G25</f>
        <v>2608</v>
      </c>
      <c r="I21" s="159">
        <f>I23+I25</f>
        <v>3132</v>
      </c>
      <c r="K21" s="159">
        <f>K23+K25</f>
        <v>3132</v>
      </c>
      <c r="M21" s="112"/>
    </row>
    <row r="22" spans="1:13" s="40" customFormat="1" x14ac:dyDescent="0.2">
      <c r="A22" s="90" t="s">
        <v>1973</v>
      </c>
      <c r="B22" s="39"/>
      <c r="C22" s="1157">
        <v>1825</v>
      </c>
      <c r="E22" s="1157">
        <v>1949</v>
      </c>
      <c r="G22" s="1157">
        <v>1543</v>
      </c>
      <c r="I22" s="1157">
        <v>1922</v>
      </c>
      <c r="K22" s="1157">
        <v>1922</v>
      </c>
      <c r="M22" s="112"/>
    </row>
    <row r="23" spans="1:13" s="40" customFormat="1" x14ac:dyDescent="0.2">
      <c r="A23" s="90" t="s">
        <v>2071</v>
      </c>
      <c r="B23" s="39"/>
      <c r="C23" s="1157">
        <v>1712</v>
      </c>
      <c r="E23" s="1157">
        <v>1798</v>
      </c>
      <c r="G23" s="1157">
        <v>1448</v>
      </c>
      <c r="I23" s="1157">
        <v>1773</v>
      </c>
      <c r="K23" s="1157">
        <v>1773</v>
      </c>
      <c r="M23" s="112"/>
    </row>
    <row r="24" spans="1:13" s="40" customFormat="1" x14ac:dyDescent="0.2">
      <c r="A24" s="90" t="s">
        <v>1975</v>
      </c>
      <c r="B24" s="39"/>
      <c r="C24" s="1157">
        <v>1816</v>
      </c>
      <c r="E24" s="1157">
        <v>1935</v>
      </c>
      <c r="G24" s="1157">
        <v>1578</v>
      </c>
      <c r="I24" s="1157">
        <v>2012</v>
      </c>
      <c r="K24" s="1157">
        <v>2012</v>
      </c>
      <c r="M24" s="112"/>
    </row>
    <row r="25" spans="1:13" s="40" customFormat="1" x14ac:dyDescent="0.2">
      <c r="A25" s="90" t="s">
        <v>2072</v>
      </c>
      <c r="B25" s="39"/>
      <c r="C25" s="1157">
        <v>1335</v>
      </c>
      <c r="E25" s="1157">
        <v>1306</v>
      </c>
      <c r="G25" s="1157">
        <v>1160</v>
      </c>
      <c r="I25" s="1157">
        <v>1359</v>
      </c>
      <c r="K25" s="1157">
        <v>1359</v>
      </c>
      <c r="M25" s="112"/>
    </row>
    <row r="26" spans="1:13" s="40" customFormat="1" x14ac:dyDescent="0.2">
      <c r="A26" s="41" t="s">
        <v>2074</v>
      </c>
      <c r="B26" s="39"/>
      <c r="C26" s="1157">
        <v>4641</v>
      </c>
      <c r="E26" s="1157">
        <v>4345</v>
      </c>
      <c r="G26" s="1157">
        <v>4641</v>
      </c>
      <c r="I26" s="1157">
        <v>4345</v>
      </c>
      <c r="K26" s="1157">
        <v>4345</v>
      </c>
      <c r="M26" s="112"/>
    </row>
    <row r="27" spans="1:13" s="40" customFormat="1" x14ac:dyDescent="0.2">
      <c r="A27" s="38" t="s">
        <v>1981</v>
      </c>
      <c r="B27" s="39"/>
      <c r="C27" s="112">
        <v>105</v>
      </c>
      <c r="E27" s="112">
        <v>108</v>
      </c>
      <c r="G27" s="112">
        <v>108</v>
      </c>
      <c r="I27" s="112">
        <v>109</v>
      </c>
      <c r="K27" s="112">
        <v>109</v>
      </c>
      <c r="M27" s="76"/>
    </row>
    <row r="28" spans="1:13" s="40" customFormat="1" x14ac:dyDescent="0.2">
      <c r="A28" s="38" t="s">
        <v>1982</v>
      </c>
      <c r="B28" s="39"/>
      <c r="C28" s="112">
        <v>1480</v>
      </c>
      <c r="E28" s="112">
        <v>1515</v>
      </c>
      <c r="G28" s="112">
        <v>1495</v>
      </c>
      <c r="I28" s="112">
        <v>1529</v>
      </c>
      <c r="K28" s="112">
        <v>1529</v>
      </c>
      <c r="M28" s="76"/>
    </row>
    <row r="29" spans="1:13" s="40" customFormat="1" x14ac:dyDescent="0.2">
      <c r="A29" s="38" t="s">
        <v>2045</v>
      </c>
      <c r="B29" s="39"/>
      <c r="C29" s="118"/>
      <c r="M29" s="63"/>
    </row>
    <row r="30" spans="1:13" s="40" customFormat="1" x14ac:dyDescent="0.2">
      <c r="A30" s="41" t="s">
        <v>1984</v>
      </c>
      <c r="B30" s="39"/>
      <c r="C30" s="1157">
        <v>1588</v>
      </c>
      <c r="E30" s="1157">
        <v>1562</v>
      </c>
      <c r="G30" s="1157">
        <v>1590</v>
      </c>
      <c r="I30" s="1157">
        <v>1590</v>
      </c>
      <c r="K30" s="1157">
        <v>1590</v>
      </c>
      <c r="M30" s="76"/>
    </row>
    <row r="31" spans="1:13" s="40" customFormat="1" x14ac:dyDescent="0.2">
      <c r="A31" s="41" t="s">
        <v>1985</v>
      </c>
      <c r="B31" s="39"/>
      <c r="C31" s="1157">
        <v>1048</v>
      </c>
      <c r="E31" s="1157">
        <v>1110</v>
      </c>
      <c r="G31" s="1157">
        <v>1050</v>
      </c>
      <c r="I31" s="1157">
        <v>1150</v>
      </c>
      <c r="K31" s="1157">
        <v>1150</v>
      </c>
      <c r="M31" s="76"/>
    </row>
    <row r="32" spans="1:13" s="40" customFormat="1" x14ac:dyDescent="0.2">
      <c r="A32" s="41" t="s">
        <v>1986</v>
      </c>
      <c r="B32" s="39"/>
      <c r="C32" s="1157">
        <v>270</v>
      </c>
      <c r="E32" s="1157">
        <v>277</v>
      </c>
      <c r="G32" s="1157">
        <v>270</v>
      </c>
      <c r="I32" s="1157">
        <v>280</v>
      </c>
      <c r="K32" s="1157">
        <v>280</v>
      </c>
      <c r="M32" s="76"/>
    </row>
    <row r="33" spans="1:13" s="40" customFormat="1" x14ac:dyDescent="0.2">
      <c r="A33" s="38" t="s">
        <v>2075</v>
      </c>
      <c r="B33" s="39"/>
      <c r="C33" s="1159" t="s">
        <v>2047</v>
      </c>
      <c r="E33" s="1159" t="s">
        <v>2047</v>
      </c>
      <c r="G33" s="1159" t="s">
        <v>2048</v>
      </c>
      <c r="I33" s="1159" t="s">
        <v>2047</v>
      </c>
      <c r="K33" s="1159" t="s">
        <v>2047</v>
      </c>
      <c r="M33" s="76"/>
    </row>
    <row r="34" spans="1:13" s="40" customFormat="1" ht="25.5" x14ac:dyDescent="0.2">
      <c r="A34" s="39" t="s">
        <v>1993</v>
      </c>
      <c r="B34" s="39"/>
      <c r="C34" s="91">
        <v>1015</v>
      </c>
      <c r="E34" s="91">
        <v>1171</v>
      </c>
      <c r="G34" s="77"/>
      <c r="I34" s="91">
        <v>1129</v>
      </c>
      <c r="K34" s="77"/>
      <c r="M34" s="77"/>
    </row>
    <row r="35" spans="1:13" s="40" customFormat="1" x14ac:dyDescent="0.2">
      <c r="A35" s="41" t="s">
        <v>1994</v>
      </c>
      <c r="B35" s="39"/>
      <c r="C35" s="71">
        <v>537</v>
      </c>
      <c r="E35" s="71">
        <v>527</v>
      </c>
      <c r="G35" s="70"/>
      <c r="I35" s="71">
        <v>550</v>
      </c>
      <c r="K35" s="70"/>
      <c r="M35" s="70"/>
    </row>
    <row r="36" spans="1:13" s="40" customFormat="1" x14ac:dyDescent="0.2">
      <c r="A36" s="41" t="s">
        <v>1998</v>
      </c>
      <c r="B36" s="39"/>
      <c r="C36" s="71">
        <v>505</v>
      </c>
      <c r="E36" s="71">
        <v>491</v>
      </c>
      <c r="G36" s="70"/>
      <c r="I36" s="71">
        <v>544</v>
      </c>
      <c r="K36" s="70"/>
      <c r="M36" s="70"/>
    </row>
    <row r="37" spans="1:13" s="40" customFormat="1" hidden="1" x14ac:dyDescent="0.2">
      <c r="A37" s="41" t="s">
        <v>2001</v>
      </c>
      <c r="B37" s="39"/>
      <c r="C37" s="71">
        <v>0</v>
      </c>
      <c r="E37" s="71">
        <v>0</v>
      </c>
      <c r="G37" s="70"/>
      <c r="I37" s="71">
        <v>0</v>
      </c>
      <c r="K37" s="70"/>
      <c r="M37" s="70"/>
    </row>
    <row r="38" spans="1:13" s="40" customFormat="1" x14ac:dyDescent="0.2">
      <c r="A38" s="41" t="s">
        <v>2003</v>
      </c>
      <c r="B38" s="39"/>
      <c r="C38" s="71">
        <f>SUM(C35:C37)</f>
        <v>1042</v>
      </c>
      <c r="E38" s="71">
        <f>SUM(E35:E37)</f>
        <v>1018</v>
      </c>
      <c r="G38" s="70"/>
      <c r="I38" s="71">
        <f>SUM(I35:I37)</f>
        <v>1094</v>
      </c>
      <c r="K38" s="70"/>
      <c r="M38" s="70"/>
    </row>
    <row r="39" spans="1:13" s="40" customFormat="1" x14ac:dyDescent="0.2">
      <c r="A39" s="38" t="s">
        <v>2076</v>
      </c>
      <c r="B39" s="39"/>
      <c r="M39" s="101"/>
    </row>
    <row r="40" spans="1:13" s="40" customFormat="1" x14ac:dyDescent="0.2">
      <c r="A40" s="41" t="s">
        <v>2005</v>
      </c>
      <c r="B40" s="39"/>
      <c r="C40" s="100">
        <v>0.82599999999999996</v>
      </c>
      <c r="E40" s="100">
        <v>0.83499999999999996</v>
      </c>
      <c r="G40" s="101"/>
      <c r="I40" s="101"/>
      <c r="K40" s="101"/>
      <c r="M40" s="101"/>
    </row>
    <row r="41" spans="1:13" s="40" customFormat="1" x14ac:dyDescent="0.2">
      <c r="A41" s="41" t="s">
        <v>2006</v>
      </c>
      <c r="B41" s="39"/>
      <c r="C41" s="100">
        <v>0.63900000000000001</v>
      </c>
      <c r="E41" s="100">
        <v>0.67200000000000004</v>
      </c>
      <c r="G41" s="101"/>
      <c r="I41" s="101"/>
      <c r="K41" s="101"/>
      <c r="M41" s="101"/>
    </row>
    <row r="42" spans="1:13" s="40" customFormat="1" x14ac:dyDescent="0.2">
      <c r="A42" s="38" t="s">
        <v>2056</v>
      </c>
      <c r="B42" s="39"/>
      <c r="M42" s="98"/>
    </row>
    <row r="43" spans="1:13" s="40" customFormat="1" x14ac:dyDescent="0.2">
      <c r="A43" s="124" t="s">
        <v>2008</v>
      </c>
      <c r="B43" s="39"/>
      <c r="C43" s="126">
        <v>31982</v>
      </c>
      <c r="E43" s="126">
        <v>32347</v>
      </c>
      <c r="G43" s="98"/>
      <c r="I43" s="126">
        <v>33769</v>
      </c>
      <c r="K43" s="98"/>
      <c r="M43" s="98"/>
    </row>
    <row r="44" spans="1:13" s="40" customFormat="1" x14ac:dyDescent="0.2">
      <c r="A44" s="124" t="s">
        <v>2009</v>
      </c>
      <c r="B44" s="39"/>
      <c r="C44" s="126">
        <v>11217</v>
      </c>
      <c r="E44" s="126">
        <v>11408</v>
      </c>
      <c r="G44" s="98"/>
      <c r="I44" s="126">
        <v>11619</v>
      </c>
      <c r="K44" s="98"/>
      <c r="M44" s="98"/>
    </row>
    <row r="45" spans="1:13" s="40" customFormat="1" x14ac:dyDescent="0.2">
      <c r="A45" s="124" t="s">
        <v>2010</v>
      </c>
      <c r="B45" s="39"/>
      <c r="C45" s="1161">
        <v>26607</v>
      </c>
      <c r="E45" s="1161">
        <v>27059</v>
      </c>
      <c r="G45" s="98"/>
      <c r="I45" s="126">
        <v>27560</v>
      </c>
      <c r="K45" s="98"/>
      <c r="M45" s="98"/>
    </row>
    <row r="46" spans="1:13" s="40" customFormat="1" x14ac:dyDescent="0.2">
      <c r="A46" s="124" t="s">
        <v>2011</v>
      </c>
      <c r="B46" s="39"/>
      <c r="C46" s="126">
        <v>2914</v>
      </c>
      <c r="E46" s="126">
        <v>2964</v>
      </c>
      <c r="G46" s="98"/>
      <c r="I46" s="126">
        <v>3018</v>
      </c>
      <c r="K46" s="98"/>
      <c r="M46" s="97"/>
    </row>
    <row r="47" spans="1:13" s="37" customFormat="1" x14ac:dyDescent="0.2">
      <c r="A47" s="41"/>
      <c r="B47" s="36"/>
    </row>
    <row r="48" spans="1:13" s="37" customFormat="1" x14ac:dyDescent="0.2">
      <c r="A48" s="35" t="s">
        <v>517</v>
      </c>
      <c r="B48" s="36"/>
    </row>
    <row r="49" spans="1:13" s="40" customFormat="1" x14ac:dyDescent="0.2">
      <c r="A49" s="35" t="s">
        <v>1968</v>
      </c>
      <c r="B49" s="39"/>
    </row>
    <row r="50" spans="1:13" s="40" customFormat="1" x14ac:dyDescent="0.2">
      <c r="A50" s="38" t="s">
        <v>2017</v>
      </c>
      <c r="B50" s="39"/>
      <c r="M50" s="98"/>
    </row>
    <row r="51" spans="1:13" s="40" customFormat="1" x14ac:dyDescent="0.2">
      <c r="A51" s="41" t="s">
        <v>1298</v>
      </c>
      <c r="B51" s="39"/>
      <c r="C51" s="126">
        <v>139753000</v>
      </c>
      <c r="E51" s="126">
        <v>96695610</v>
      </c>
      <c r="G51" s="98"/>
      <c r="I51" s="126">
        <v>146554752</v>
      </c>
      <c r="K51" s="98"/>
      <c r="M51" s="98"/>
    </row>
    <row r="52" spans="1:13" s="40" customFormat="1" x14ac:dyDescent="0.2">
      <c r="A52" s="41" t="s">
        <v>2018</v>
      </c>
      <c r="B52" s="39"/>
      <c r="C52" s="126">
        <v>28096000</v>
      </c>
      <c r="E52" s="126">
        <v>13538133</v>
      </c>
      <c r="G52" s="98"/>
      <c r="I52" s="126">
        <v>20847547</v>
      </c>
      <c r="M52" s="98"/>
    </row>
    <row r="53" spans="1:13" s="40" customFormat="1" x14ac:dyDescent="0.2">
      <c r="A53" s="41" t="s">
        <v>2019</v>
      </c>
      <c r="B53" s="39"/>
      <c r="C53" s="126">
        <v>5528000</v>
      </c>
      <c r="E53" s="126">
        <v>25305903</v>
      </c>
      <c r="G53" s="98"/>
      <c r="I53" s="126">
        <v>8989316</v>
      </c>
      <c r="M53" s="98"/>
    </row>
    <row r="54" spans="1:13" s="40" customFormat="1" x14ac:dyDescent="0.2">
      <c r="A54" s="41" t="s">
        <v>2020</v>
      </c>
      <c r="B54" s="39"/>
      <c r="C54" s="126">
        <v>11857000</v>
      </c>
      <c r="E54" s="126">
        <v>82021399</v>
      </c>
      <c r="G54" s="98"/>
      <c r="I54" s="126">
        <v>78934760</v>
      </c>
      <c r="M54" s="98"/>
    </row>
    <row r="55" spans="1:13" s="40" customFormat="1" x14ac:dyDescent="0.2">
      <c r="A55" s="41" t="s">
        <v>2021</v>
      </c>
      <c r="B55" s="39"/>
      <c r="C55" s="126">
        <v>39422000</v>
      </c>
      <c r="E55" s="126">
        <v>101034003</v>
      </c>
      <c r="G55" s="98"/>
      <c r="I55" s="126">
        <v>129023831</v>
      </c>
      <c r="M55" s="98"/>
    </row>
    <row r="56" spans="1:13" s="40" customFormat="1" x14ac:dyDescent="0.2">
      <c r="A56" s="41" t="s">
        <v>2022</v>
      </c>
      <c r="B56" s="39"/>
      <c r="C56" s="126">
        <v>11696000</v>
      </c>
      <c r="E56" s="126">
        <v>9876444</v>
      </c>
      <c r="G56" s="98"/>
      <c r="I56" s="126">
        <v>39229874</v>
      </c>
      <c r="M56" s="98"/>
    </row>
    <row r="57" spans="1:13" s="40" customFormat="1" x14ac:dyDescent="0.2">
      <c r="A57" s="41" t="s">
        <v>2023</v>
      </c>
      <c r="B57" s="39"/>
      <c r="C57" s="126">
        <v>32274000</v>
      </c>
      <c r="E57" s="126">
        <v>4071746</v>
      </c>
      <c r="G57" s="98"/>
      <c r="I57" s="126">
        <v>18361773</v>
      </c>
      <c r="M57" s="97"/>
    </row>
    <row r="58" spans="1:13" s="40" customFormat="1" hidden="1" x14ac:dyDescent="0.2">
      <c r="A58" s="38" t="s">
        <v>2024</v>
      </c>
      <c r="B58" s="39"/>
      <c r="M58" s="97"/>
    </row>
    <row r="59" spans="1:13" s="40" customFormat="1" hidden="1" x14ac:dyDescent="0.2">
      <c r="A59" s="41" t="s">
        <v>2059</v>
      </c>
      <c r="B59" s="39"/>
      <c r="C59" s="1175">
        <v>200000</v>
      </c>
      <c r="D59" s="1176"/>
      <c r="E59" s="1177">
        <v>200000</v>
      </c>
      <c r="F59" s="1176"/>
      <c r="G59" s="1177">
        <v>200000</v>
      </c>
      <c r="I59" s="1177">
        <v>200000</v>
      </c>
      <c r="M59" s="76"/>
    </row>
    <row r="60" spans="1:13" s="37" customFormat="1" x14ac:dyDescent="0.2">
      <c r="A60" s="90"/>
      <c r="B60" s="39"/>
      <c r="G60" s="89"/>
      <c r="I60" s="89"/>
    </row>
    <row r="61" spans="1:13" s="37" customFormat="1" x14ac:dyDescent="0.2">
      <c r="A61" s="35" t="s">
        <v>194</v>
      </c>
      <c r="B61" s="36"/>
    </row>
    <row r="62" spans="1:13" s="37" customFormat="1" x14ac:dyDescent="0.2">
      <c r="A62" s="35" t="s">
        <v>195</v>
      </c>
      <c r="B62" s="36"/>
      <c r="M62" s="89"/>
    </row>
    <row r="63" spans="1:13" s="37" customFormat="1" x14ac:dyDescent="0.2">
      <c r="A63" s="41" t="s">
        <v>2030</v>
      </c>
      <c r="B63" s="39"/>
      <c r="C63" s="91">
        <v>1086</v>
      </c>
      <c r="D63" s="89"/>
      <c r="E63" s="91">
        <v>1086</v>
      </c>
      <c r="F63" s="89"/>
      <c r="G63" s="76">
        <v>1086</v>
      </c>
      <c r="I63" s="76">
        <v>1086</v>
      </c>
      <c r="K63" s="76">
        <v>1086</v>
      </c>
      <c r="M63" s="78"/>
    </row>
    <row r="64" spans="1:13" s="40" customFormat="1" x14ac:dyDescent="0.2">
      <c r="A64" s="35"/>
      <c r="B64" s="36"/>
    </row>
    <row r="65" spans="1:17" s="37" customFormat="1" x14ac:dyDescent="0.2">
      <c r="A65" s="46"/>
      <c r="B65" s="47"/>
    </row>
    <row r="66" spans="1:17" s="48" customFormat="1" ht="14.25" customHeight="1" x14ac:dyDescent="0.2">
      <c r="A66" s="69" t="s">
        <v>200</v>
      </c>
      <c r="B66" s="50"/>
      <c r="C66" s="51"/>
      <c r="D66" s="52"/>
      <c r="E66" s="53"/>
      <c r="F66" s="52"/>
      <c r="G66" s="53"/>
      <c r="H66" s="52"/>
      <c r="I66" s="53"/>
      <c r="J66" s="52"/>
      <c r="K66" s="1163"/>
      <c r="L66" s="52"/>
      <c r="M66" s="51"/>
      <c r="N66" s="52"/>
    </row>
    <row r="67" spans="1:17" s="48" customFormat="1" ht="15.75" customHeight="1" x14ac:dyDescent="0.2">
      <c r="A67" s="1818" t="s">
        <v>2077</v>
      </c>
      <c r="B67" s="1819"/>
      <c r="C67" s="1819"/>
      <c r="D67" s="1819"/>
      <c r="E67" s="1819"/>
      <c r="F67" s="1819"/>
      <c r="G67" s="1819"/>
      <c r="H67" s="1819"/>
      <c r="I67" s="1819"/>
      <c r="J67" s="1819"/>
      <c r="K67" s="1819"/>
      <c r="L67" s="1819"/>
      <c r="M67" s="1819"/>
      <c r="N67" s="1164"/>
    </row>
    <row r="68" spans="1:17" ht="15.75" customHeight="1" x14ac:dyDescent="0.2">
      <c r="A68" s="1818" t="s">
        <v>2078</v>
      </c>
      <c r="B68" s="1819"/>
      <c r="C68" s="1819"/>
      <c r="D68" s="1819"/>
      <c r="E68" s="1819"/>
      <c r="F68" s="1819"/>
      <c r="G68" s="1819"/>
      <c r="H68" s="1819"/>
      <c r="I68" s="1819"/>
      <c r="J68" s="1819"/>
      <c r="K68" s="1819"/>
      <c r="L68" s="1819"/>
      <c r="M68" s="1819"/>
      <c r="N68" s="1164"/>
      <c r="O68" s="54"/>
      <c r="P68" s="54"/>
    </row>
    <row r="69" spans="1:17" ht="15.75" customHeight="1" x14ac:dyDescent="0.2">
      <c r="A69" s="1818" t="s">
        <v>2079</v>
      </c>
      <c r="B69" s="1819"/>
      <c r="C69" s="1819"/>
      <c r="D69" s="1819"/>
      <c r="E69" s="1819"/>
      <c r="F69" s="1819"/>
      <c r="G69" s="1819"/>
      <c r="H69" s="1819"/>
      <c r="I69" s="1819"/>
      <c r="J69" s="1819"/>
      <c r="K69" s="1819"/>
      <c r="L69" s="1819"/>
      <c r="M69" s="1819"/>
      <c r="N69" s="1164"/>
      <c r="O69" s="54"/>
      <c r="P69" s="54"/>
    </row>
    <row r="70" spans="1:17" ht="15.95" customHeight="1" x14ac:dyDescent="0.2">
      <c r="A70" s="1818" t="s">
        <v>2080</v>
      </c>
      <c r="B70" s="1819"/>
      <c r="C70" s="1819"/>
      <c r="D70" s="1819"/>
      <c r="E70" s="1819"/>
      <c r="F70" s="1819"/>
      <c r="G70" s="1819"/>
      <c r="H70" s="1819"/>
      <c r="I70" s="1819"/>
      <c r="J70" s="1819"/>
      <c r="K70" s="1819"/>
      <c r="L70" s="1819"/>
      <c r="M70" s="1819"/>
      <c r="N70" s="1164"/>
      <c r="O70" s="54"/>
      <c r="P70" s="54"/>
    </row>
    <row r="71" spans="1:17" ht="15.75" customHeight="1" x14ac:dyDescent="0.2">
      <c r="A71" s="1818" t="s">
        <v>2035</v>
      </c>
      <c r="B71" s="1819"/>
      <c r="C71" s="1819"/>
      <c r="D71" s="1819"/>
      <c r="E71" s="1819"/>
      <c r="F71" s="1819"/>
      <c r="G71" s="1819"/>
      <c r="H71" s="1819"/>
      <c r="I71" s="1819"/>
      <c r="J71" s="1819"/>
      <c r="K71" s="1819"/>
      <c r="L71" s="1819"/>
      <c r="M71" s="1819"/>
      <c r="N71" s="1167"/>
      <c r="O71" s="54"/>
      <c r="P71" s="54"/>
    </row>
    <row r="72" spans="1:17" ht="24.95" customHeight="1" x14ac:dyDescent="0.2">
      <c r="A72" s="1818" t="s">
        <v>2036</v>
      </c>
      <c r="B72" s="1819"/>
      <c r="C72" s="1819"/>
      <c r="D72" s="1819"/>
      <c r="E72" s="1819"/>
      <c r="F72" s="1819"/>
      <c r="G72" s="1819"/>
      <c r="H72" s="1819"/>
      <c r="I72" s="1819"/>
      <c r="J72" s="1819"/>
      <c r="K72" s="1819"/>
      <c r="L72" s="1819"/>
      <c r="M72" s="1819"/>
      <c r="N72" s="1167"/>
      <c r="O72" s="54"/>
      <c r="P72" s="54"/>
    </row>
    <row r="73" spans="1:17" ht="36" customHeight="1" x14ac:dyDescent="0.2">
      <c r="A73" s="1818" t="s">
        <v>2037</v>
      </c>
      <c r="B73" s="1819"/>
      <c r="C73" s="1819"/>
      <c r="D73" s="1819"/>
      <c r="E73" s="1819"/>
      <c r="F73" s="1819"/>
      <c r="G73" s="1819"/>
      <c r="H73" s="1819"/>
      <c r="I73" s="1819"/>
      <c r="J73" s="1819"/>
      <c r="K73" s="1819"/>
      <c r="L73" s="1819"/>
      <c r="M73" s="1819"/>
      <c r="N73" s="1167"/>
      <c r="O73" s="54"/>
      <c r="P73" s="54"/>
    </row>
    <row r="74" spans="1:17" ht="24.95" customHeight="1" x14ac:dyDescent="0.2">
      <c r="A74" s="1818"/>
      <c r="B74" s="1819"/>
      <c r="C74" s="1819"/>
      <c r="D74" s="1819"/>
      <c r="E74" s="1819"/>
      <c r="F74" s="1819"/>
      <c r="G74" s="1819"/>
      <c r="H74" s="1819"/>
      <c r="I74" s="1819"/>
      <c r="J74" s="1819"/>
      <c r="K74" s="1819"/>
      <c r="L74" s="1819"/>
      <c r="M74" s="1819"/>
      <c r="N74" s="1167"/>
      <c r="O74" s="54"/>
      <c r="P74" s="54"/>
    </row>
    <row r="75" spans="1:17" ht="15" x14ac:dyDescent="0.25">
      <c r="A75" s="55"/>
      <c r="B75" s="54"/>
      <c r="C75" s="56"/>
      <c r="D75" s="54"/>
      <c r="E75" s="56"/>
      <c r="F75" s="54"/>
      <c r="G75" s="56"/>
      <c r="H75" s="54"/>
      <c r="I75" s="56"/>
      <c r="J75" s="54"/>
      <c r="K75" s="1174"/>
      <c r="L75" s="54"/>
      <c r="M75" s="56"/>
      <c r="N75" s="54"/>
      <c r="O75" s="54"/>
      <c r="P75" s="54"/>
    </row>
    <row r="76" spans="1:17" ht="15" x14ac:dyDescent="0.25">
      <c r="A76" s="55"/>
      <c r="B76" s="54"/>
      <c r="C76" s="54"/>
      <c r="D76" s="54"/>
      <c r="E76" s="54"/>
      <c r="F76" s="54"/>
      <c r="G76" s="54"/>
      <c r="H76" s="54"/>
      <c r="I76" s="54"/>
      <c r="J76" s="54"/>
      <c r="K76" s="1174"/>
      <c r="L76" s="54"/>
      <c r="M76" s="54"/>
      <c r="N76" s="54"/>
      <c r="O76" s="54"/>
      <c r="P76" s="54"/>
    </row>
    <row r="77" spans="1:17" ht="15" x14ac:dyDescent="0.25">
      <c r="A77" s="55"/>
      <c r="B77" s="54"/>
      <c r="C77" s="56"/>
      <c r="D77" s="54"/>
      <c r="E77" s="56"/>
      <c r="F77" s="54"/>
      <c r="G77" s="56"/>
      <c r="H77" s="54"/>
      <c r="I77" s="56"/>
      <c r="J77" s="54"/>
      <c r="K77" s="1174"/>
      <c r="L77" s="54"/>
      <c r="M77" s="56"/>
      <c r="N77" s="54"/>
      <c r="O77" s="54"/>
      <c r="P77" s="54"/>
    </row>
    <row r="78" spans="1:17" ht="15" x14ac:dyDescent="0.25">
      <c r="A78" s="55"/>
      <c r="B78" s="54"/>
      <c r="C78" s="54"/>
      <c r="D78" s="54"/>
      <c r="E78" s="54"/>
      <c r="F78" s="54"/>
      <c r="G78" s="54"/>
      <c r="H78" s="54"/>
      <c r="I78" s="54"/>
      <c r="J78" s="54"/>
      <c r="K78" s="1174"/>
      <c r="L78" s="54"/>
      <c r="M78" s="54"/>
      <c r="N78" s="54"/>
      <c r="O78" s="54"/>
      <c r="P78" s="54"/>
    </row>
    <row r="79" spans="1:17" ht="15" x14ac:dyDescent="0.25">
      <c r="A79" s="55"/>
      <c r="B79" s="54"/>
      <c r="C79" s="54"/>
      <c r="D79" s="54"/>
      <c r="E79" s="54"/>
      <c r="F79" s="54"/>
      <c r="G79" s="54"/>
      <c r="H79" s="54"/>
      <c r="I79" s="54"/>
      <c r="J79" s="54"/>
      <c r="K79" s="1174"/>
      <c r="L79" s="54"/>
      <c r="M79" s="54"/>
      <c r="N79" s="54"/>
      <c r="O79" s="54"/>
      <c r="P79" s="54"/>
    </row>
    <row r="80" spans="1:17" ht="15" x14ac:dyDescent="0.25">
      <c r="A80" s="55"/>
      <c r="B80" s="54"/>
      <c r="C80" s="54"/>
      <c r="D80" s="54"/>
      <c r="E80" s="54"/>
      <c r="F80" s="54"/>
      <c r="G80" s="54"/>
      <c r="H80" s="54"/>
      <c r="I80" s="54"/>
      <c r="J80" s="54"/>
      <c r="K80" s="1174"/>
      <c r="L80" s="54"/>
      <c r="M80" s="54"/>
      <c r="N80" s="54"/>
      <c r="O80" s="54"/>
      <c r="P80" s="54"/>
      <c r="Q80" s="57"/>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58"/>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58"/>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sheetData>
  <mergeCells count="9">
    <mergeCell ref="A73:M73"/>
    <mergeCell ref="A74:M74"/>
    <mergeCell ref="K2:K3"/>
    <mergeCell ref="A67:M67"/>
    <mergeCell ref="A68:M68"/>
    <mergeCell ref="A69:M69"/>
    <mergeCell ref="A70:M70"/>
    <mergeCell ref="A71:M71"/>
    <mergeCell ref="A72:M72"/>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75" right="0" top="1.25" bottom="0.75" header="0.3" footer="0.3"/>
  <pageSetup scale="82" fitToHeight="99" pageOrder="overThenDown" orientation="portrait" blackAndWhite="1" r:id="rId1"/>
  <headerFooter alignWithMargins="0">
    <oddFooter>&amp;L&amp;F
&amp;D</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6"/>
  <dimension ref="A1:Q131"/>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
      <c r="L4" s="6"/>
      <c r="M4" s="11"/>
      <c r="N4" s="6"/>
    </row>
    <row r="5" spans="1:16" s="4" customFormat="1" ht="15.75" x14ac:dyDescent="0.2">
      <c r="A5" s="1" t="s">
        <v>183</v>
      </c>
      <c r="B5" s="12" t="s">
        <v>2081</v>
      </c>
      <c r="C5" s="12" t="s">
        <v>53</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c r="E10" s="87"/>
      <c r="F10" s="87"/>
      <c r="G10" s="87"/>
      <c r="H10" s="87"/>
      <c r="I10" s="87"/>
      <c r="J10" s="87"/>
      <c r="K10" s="87"/>
      <c r="L10" s="87"/>
    </row>
    <row r="11" spans="1:16" s="37" customFormat="1" x14ac:dyDescent="0.2">
      <c r="A11" s="38" t="s">
        <v>2068</v>
      </c>
      <c r="B11" s="39"/>
      <c r="C11" s="43">
        <v>11325</v>
      </c>
      <c r="D11" s="43"/>
      <c r="E11" s="43">
        <v>11446</v>
      </c>
      <c r="F11" s="43"/>
      <c r="G11" s="43">
        <v>11635</v>
      </c>
      <c r="H11" s="1016"/>
      <c r="I11" s="43">
        <v>11551</v>
      </c>
      <c r="J11" s="1016"/>
      <c r="K11" s="43">
        <v>11603</v>
      </c>
      <c r="L11" s="87"/>
      <c r="M11" s="403"/>
    </row>
    <row r="12" spans="1:16" s="40" customFormat="1" x14ac:dyDescent="0.2">
      <c r="A12" s="38" t="s">
        <v>2082</v>
      </c>
      <c r="B12" s="39"/>
      <c r="C12" s="43">
        <v>8671</v>
      </c>
      <c r="D12" s="43"/>
      <c r="E12" s="43">
        <v>8792</v>
      </c>
      <c r="F12" s="43"/>
      <c r="G12" s="43">
        <v>8896</v>
      </c>
      <c r="H12" s="43"/>
      <c r="I12" s="43">
        <v>8878</v>
      </c>
      <c r="J12" s="43"/>
      <c r="K12" s="43">
        <v>9006</v>
      </c>
      <c r="L12" s="63"/>
      <c r="M12" s="62"/>
    </row>
    <row r="13" spans="1:16" s="40" customFormat="1" x14ac:dyDescent="0.2">
      <c r="A13" s="41" t="s">
        <v>1971</v>
      </c>
      <c r="B13" s="39"/>
      <c r="C13" s="43">
        <v>8008</v>
      </c>
      <c r="D13" s="43"/>
      <c r="E13" s="43">
        <v>8293</v>
      </c>
      <c r="F13" s="43"/>
      <c r="G13" s="43">
        <v>8377</v>
      </c>
      <c r="H13" s="43"/>
      <c r="I13" s="43">
        <v>8550</v>
      </c>
      <c r="J13" s="43"/>
      <c r="K13" s="43">
        <v>8748</v>
      </c>
      <c r="L13" s="63"/>
      <c r="M13" s="62"/>
    </row>
    <row r="14" spans="1:16" s="40" customFormat="1" x14ac:dyDescent="0.2">
      <c r="A14" s="41" t="s">
        <v>2070</v>
      </c>
      <c r="B14" s="39"/>
      <c r="C14" s="43">
        <v>6539</v>
      </c>
      <c r="D14" s="43"/>
      <c r="E14" s="43">
        <v>6868</v>
      </c>
      <c r="F14" s="43"/>
      <c r="G14" s="43">
        <v>6913</v>
      </c>
      <c r="H14" s="43"/>
      <c r="I14" s="43">
        <v>7064</v>
      </c>
      <c r="J14" s="43"/>
      <c r="K14" s="43">
        <v>7234</v>
      </c>
      <c r="L14" s="63"/>
      <c r="M14" s="62"/>
    </row>
    <row r="15" spans="1:16" s="40" customFormat="1" x14ac:dyDescent="0.2">
      <c r="A15" s="90" t="s">
        <v>1973</v>
      </c>
      <c r="B15" s="39"/>
      <c r="C15" s="43">
        <v>6178</v>
      </c>
      <c r="D15" s="43"/>
      <c r="E15" s="43">
        <v>6591</v>
      </c>
      <c r="F15" s="43"/>
      <c r="G15" s="43">
        <v>6617</v>
      </c>
      <c r="H15" s="43"/>
      <c r="I15" s="43">
        <v>6766</v>
      </c>
      <c r="J15" s="43"/>
      <c r="K15" s="43">
        <v>6923</v>
      </c>
      <c r="L15" s="63"/>
      <c r="M15" s="62"/>
    </row>
    <row r="16" spans="1:16" s="40" customFormat="1" x14ac:dyDescent="0.2">
      <c r="A16" s="90" t="s">
        <v>2071</v>
      </c>
      <c r="B16" s="39"/>
      <c r="C16" s="43">
        <v>5886</v>
      </c>
      <c r="D16" s="43"/>
      <c r="E16" s="43">
        <v>6282</v>
      </c>
      <c r="F16" s="43"/>
      <c r="G16" s="43">
        <v>6307</v>
      </c>
      <c r="H16" s="43"/>
      <c r="I16" s="43">
        <v>6450</v>
      </c>
      <c r="J16" s="43"/>
      <c r="K16" s="43">
        <v>6598</v>
      </c>
      <c r="L16" s="63"/>
      <c r="M16" s="62"/>
    </row>
    <row r="17" spans="1:13" s="40" customFormat="1" x14ac:dyDescent="0.2">
      <c r="A17" s="90" t="s">
        <v>1975</v>
      </c>
      <c r="B17" s="39"/>
      <c r="C17" s="43">
        <v>1830</v>
      </c>
      <c r="D17" s="43"/>
      <c r="E17" s="43">
        <v>1702</v>
      </c>
      <c r="F17" s="43"/>
      <c r="G17" s="43">
        <v>1760</v>
      </c>
      <c r="H17" s="43"/>
      <c r="I17" s="43">
        <v>1784</v>
      </c>
      <c r="J17" s="43"/>
      <c r="K17" s="43">
        <v>1825</v>
      </c>
      <c r="L17" s="63"/>
      <c r="M17" s="62"/>
    </row>
    <row r="18" spans="1:13" s="40" customFormat="1" x14ac:dyDescent="0.2">
      <c r="A18" s="90" t="s">
        <v>2072</v>
      </c>
      <c r="B18" s="39"/>
      <c r="C18" s="43">
        <v>653</v>
      </c>
      <c r="D18" s="43"/>
      <c r="E18" s="43">
        <v>586</v>
      </c>
      <c r="F18" s="43"/>
      <c r="G18" s="43">
        <v>606</v>
      </c>
      <c r="H18" s="43"/>
      <c r="I18" s="43">
        <v>614</v>
      </c>
      <c r="J18" s="43"/>
      <c r="K18" s="43">
        <v>636</v>
      </c>
      <c r="L18" s="63"/>
      <c r="M18" s="62"/>
    </row>
    <row r="19" spans="1:13" s="40" customFormat="1" x14ac:dyDescent="0.2">
      <c r="A19" s="41" t="s">
        <v>1977</v>
      </c>
      <c r="B19" s="39"/>
      <c r="C19" s="43">
        <v>3317</v>
      </c>
      <c r="D19" s="43"/>
      <c r="E19" s="43">
        <v>3153</v>
      </c>
      <c r="F19" s="43"/>
      <c r="G19" s="43">
        <v>3258</v>
      </c>
      <c r="H19" s="43"/>
      <c r="I19" s="43">
        <v>3001</v>
      </c>
      <c r="J19" s="43"/>
      <c r="K19" s="43">
        <v>2855</v>
      </c>
      <c r="L19" s="63"/>
      <c r="M19" s="62"/>
    </row>
    <row r="20" spans="1:13" s="40" customFormat="1" x14ac:dyDescent="0.2">
      <c r="A20" s="41" t="s">
        <v>2073</v>
      </c>
      <c r="B20" s="39"/>
      <c r="C20" s="43">
        <v>2132</v>
      </c>
      <c r="D20" s="43"/>
      <c r="E20" s="43">
        <v>1924</v>
      </c>
      <c r="F20" s="43"/>
      <c r="G20" s="43">
        <v>1983</v>
      </c>
      <c r="H20" s="43"/>
      <c r="I20" s="43">
        <v>1814</v>
      </c>
      <c r="J20" s="43"/>
      <c r="K20" s="43">
        <v>1772</v>
      </c>
      <c r="L20" s="63"/>
      <c r="M20" s="62"/>
    </row>
    <row r="21" spans="1:13" s="40" customFormat="1" x14ac:dyDescent="0.2">
      <c r="A21" s="90" t="s">
        <v>1973</v>
      </c>
      <c r="B21" s="39"/>
      <c r="C21" s="43">
        <v>2055</v>
      </c>
      <c r="D21" s="43"/>
      <c r="E21" s="43">
        <v>1873</v>
      </c>
      <c r="F21" s="43"/>
      <c r="G21" s="43">
        <v>1922</v>
      </c>
      <c r="H21" s="43"/>
      <c r="I21" s="43">
        <v>1830</v>
      </c>
      <c r="J21" s="43"/>
      <c r="K21" s="43">
        <v>1741</v>
      </c>
      <c r="L21" s="63"/>
      <c r="M21" s="62"/>
    </row>
    <row r="22" spans="1:13" s="40" customFormat="1" x14ac:dyDescent="0.2">
      <c r="A22" s="90" t="s">
        <v>2071</v>
      </c>
      <c r="B22" s="39"/>
      <c r="C22" s="43">
        <v>1652</v>
      </c>
      <c r="D22" s="43"/>
      <c r="E22" s="43">
        <v>1436</v>
      </c>
      <c r="F22" s="43"/>
      <c r="G22" s="43">
        <v>1474</v>
      </c>
      <c r="H22" s="43"/>
      <c r="I22" s="43">
        <v>1377</v>
      </c>
      <c r="J22" s="43"/>
      <c r="K22" s="43">
        <v>1350</v>
      </c>
      <c r="L22" s="63"/>
      <c r="M22" s="62"/>
    </row>
    <row r="23" spans="1:13" s="40" customFormat="1" x14ac:dyDescent="0.2">
      <c r="A23" s="90" t="s">
        <v>1975</v>
      </c>
      <c r="B23" s="39"/>
      <c r="C23" s="43">
        <v>1262</v>
      </c>
      <c r="D23" s="43"/>
      <c r="E23" s="43">
        <v>1280</v>
      </c>
      <c r="F23" s="43"/>
      <c r="G23" s="43">
        <v>1336</v>
      </c>
      <c r="H23" s="43"/>
      <c r="I23" s="43">
        <v>1171</v>
      </c>
      <c r="J23" s="43"/>
      <c r="K23" s="43">
        <v>1114</v>
      </c>
      <c r="L23" s="63"/>
      <c r="M23" s="62"/>
    </row>
    <row r="24" spans="1:13" s="40" customFormat="1" x14ac:dyDescent="0.2">
      <c r="A24" s="90" t="s">
        <v>2072</v>
      </c>
      <c r="B24" s="39"/>
      <c r="C24" s="43">
        <v>480</v>
      </c>
      <c r="D24" s="43"/>
      <c r="E24" s="43">
        <v>488</v>
      </c>
      <c r="F24" s="43"/>
      <c r="G24" s="43">
        <v>509</v>
      </c>
      <c r="H24" s="43"/>
      <c r="I24" s="43">
        <v>437</v>
      </c>
      <c r="J24" s="43"/>
      <c r="K24" s="43">
        <v>422</v>
      </c>
      <c r="L24" s="63"/>
      <c r="M24" s="62"/>
    </row>
    <row r="25" spans="1:13" s="40" customFormat="1" x14ac:dyDescent="0.2">
      <c r="A25" s="41" t="s">
        <v>2083</v>
      </c>
      <c r="B25" s="39"/>
      <c r="C25" s="43"/>
      <c r="D25" s="43"/>
      <c r="E25" s="43"/>
      <c r="F25" s="43"/>
      <c r="G25" s="43"/>
      <c r="H25" s="43"/>
      <c r="I25" s="43"/>
      <c r="J25" s="43"/>
      <c r="K25" s="43"/>
      <c r="L25" s="63"/>
      <c r="M25" s="76"/>
    </row>
    <row r="26" spans="1:13" s="40" customFormat="1" x14ac:dyDescent="0.2">
      <c r="A26" s="90" t="s">
        <v>2084</v>
      </c>
      <c r="B26" s="39"/>
      <c r="C26" s="43">
        <v>3163</v>
      </c>
      <c r="D26" s="43"/>
      <c r="E26" s="43">
        <v>3071</v>
      </c>
      <c r="F26" s="43"/>
      <c r="G26" s="43">
        <v>3235</v>
      </c>
      <c r="H26" s="43"/>
      <c r="I26" s="43">
        <v>3213</v>
      </c>
      <c r="J26" s="43"/>
      <c r="K26" s="43">
        <v>3200</v>
      </c>
      <c r="L26" s="63"/>
      <c r="M26" s="76"/>
    </row>
    <row r="27" spans="1:13" s="40" customFormat="1" x14ac:dyDescent="0.2">
      <c r="A27" s="90" t="s">
        <v>2085</v>
      </c>
      <c r="B27" s="39"/>
      <c r="C27" s="43">
        <v>1020</v>
      </c>
      <c r="D27" s="43"/>
      <c r="E27" s="43">
        <v>987</v>
      </c>
      <c r="F27" s="43"/>
      <c r="G27" s="43">
        <v>985</v>
      </c>
      <c r="H27" s="43"/>
      <c r="I27" s="43">
        <v>934</v>
      </c>
      <c r="J27" s="43"/>
      <c r="K27" s="43">
        <v>931</v>
      </c>
      <c r="L27" s="63"/>
      <c r="M27" s="62"/>
    </row>
    <row r="28" spans="1:13" s="40" customFormat="1" x14ac:dyDescent="0.2">
      <c r="A28" s="131" t="s">
        <v>2086</v>
      </c>
      <c r="B28" s="39"/>
      <c r="C28" s="43">
        <v>2439</v>
      </c>
      <c r="D28" s="43"/>
      <c r="E28" s="43">
        <v>2293</v>
      </c>
      <c r="F28" s="43"/>
      <c r="G28" s="43">
        <v>2500</v>
      </c>
      <c r="H28" s="43"/>
      <c r="I28" s="43">
        <v>2510</v>
      </c>
      <c r="J28" s="43"/>
      <c r="K28" s="43">
        <v>2500</v>
      </c>
      <c r="L28" s="63"/>
      <c r="M28" s="76"/>
    </row>
    <row r="29" spans="1:13" s="40" customFormat="1" x14ac:dyDescent="0.2">
      <c r="A29" s="131" t="s">
        <v>2087</v>
      </c>
      <c r="B29" s="39"/>
      <c r="C29" s="43">
        <v>758</v>
      </c>
      <c r="D29" s="43"/>
      <c r="E29" s="43">
        <v>720</v>
      </c>
      <c r="F29" s="43"/>
      <c r="G29" s="43">
        <v>727</v>
      </c>
      <c r="H29" s="43"/>
      <c r="I29" s="43">
        <v>702</v>
      </c>
      <c r="J29" s="43"/>
      <c r="K29" s="43">
        <v>700</v>
      </c>
      <c r="L29" s="63"/>
      <c r="M29" s="62"/>
    </row>
    <row r="30" spans="1:13" s="40" customFormat="1" x14ac:dyDescent="0.2">
      <c r="A30" s="131" t="s">
        <v>2088</v>
      </c>
      <c r="B30" s="39"/>
      <c r="C30" s="43">
        <v>724</v>
      </c>
      <c r="D30" s="43"/>
      <c r="E30" s="43">
        <v>778</v>
      </c>
      <c r="F30" s="43"/>
      <c r="G30" s="43">
        <v>735</v>
      </c>
      <c r="H30" s="43"/>
      <c r="I30" s="43">
        <v>703</v>
      </c>
      <c r="J30" s="43"/>
      <c r="K30" s="43">
        <v>700</v>
      </c>
      <c r="L30" s="63"/>
      <c r="M30" s="62"/>
    </row>
    <row r="31" spans="1:13" s="40" customFormat="1" x14ac:dyDescent="0.2">
      <c r="A31" s="131" t="s">
        <v>2089</v>
      </c>
      <c r="B31" s="39"/>
      <c r="C31" s="43">
        <v>262</v>
      </c>
      <c r="D31" s="43"/>
      <c r="E31" s="43">
        <v>267</v>
      </c>
      <c r="F31" s="43"/>
      <c r="G31" s="43">
        <v>258</v>
      </c>
      <c r="H31" s="43"/>
      <c r="I31" s="43">
        <v>232</v>
      </c>
      <c r="J31" s="43"/>
      <c r="K31" s="43">
        <v>231</v>
      </c>
      <c r="L31" s="63"/>
      <c r="M31" s="62"/>
    </row>
    <row r="32" spans="1:13" s="40" customFormat="1" x14ac:dyDescent="0.2">
      <c r="A32" s="38" t="s">
        <v>1981</v>
      </c>
      <c r="B32" s="39"/>
      <c r="C32" s="43">
        <v>129</v>
      </c>
      <c r="D32" s="43"/>
      <c r="E32" s="43">
        <v>130</v>
      </c>
      <c r="F32" s="43"/>
      <c r="G32" s="43">
        <v>130</v>
      </c>
      <c r="H32" s="43"/>
      <c r="I32" s="43">
        <v>130</v>
      </c>
      <c r="J32" s="43"/>
      <c r="K32" s="43">
        <v>130</v>
      </c>
      <c r="L32" s="63"/>
      <c r="M32" s="76"/>
    </row>
    <row r="33" spans="1:13" s="40" customFormat="1" x14ac:dyDescent="0.2">
      <c r="A33" s="38" t="s">
        <v>1982</v>
      </c>
      <c r="B33" s="39"/>
      <c r="C33" s="43">
        <v>3356</v>
      </c>
      <c r="D33" s="43"/>
      <c r="E33" s="43">
        <v>3871</v>
      </c>
      <c r="F33" s="43"/>
      <c r="G33" s="43">
        <v>3601</v>
      </c>
      <c r="H33" s="43"/>
      <c r="I33" s="43">
        <v>3929</v>
      </c>
      <c r="J33" s="43"/>
      <c r="K33" s="43">
        <v>3939</v>
      </c>
      <c r="L33" s="63"/>
      <c r="M33" s="62"/>
    </row>
    <row r="34" spans="1:13" s="40" customFormat="1" x14ac:dyDescent="0.2">
      <c r="A34" s="38" t="s">
        <v>2090</v>
      </c>
      <c r="B34" s="39"/>
      <c r="C34" s="43">
        <v>267958</v>
      </c>
      <c r="D34" s="43"/>
      <c r="E34" s="43">
        <v>269263</v>
      </c>
      <c r="F34" s="43"/>
      <c r="G34" s="43">
        <v>275864</v>
      </c>
      <c r="H34" s="43"/>
      <c r="I34" s="43">
        <v>272212</v>
      </c>
      <c r="J34" s="43"/>
      <c r="K34" s="43">
        <v>272931</v>
      </c>
      <c r="L34" s="63"/>
      <c r="M34" s="76"/>
    </row>
    <row r="35" spans="1:13" s="40" customFormat="1" x14ac:dyDescent="0.2">
      <c r="A35" s="38" t="s">
        <v>2091</v>
      </c>
      <c r="B35" s="39"/>
      <c r="C35" s="43">
        <v>2682</v>
      </c>
      <c r="D35" s="43"/>
      <c r="E35" s="43">
        <v>2852</v>
      </c>
      <c r="F35" s="43"/>
      <c r="G35" s="43">
        <v>2763.1729485834207</v>
      </c>
      <c r="H35" s="43"/>
      <c r="I35" s="43">
        <v>2896</v>
      </c>
      <c r="J35" s="43"/>
      <c r="K35" s="43">
        <v>2900</v>
      </c>
      <c r="L35" s="63"/>
      <c r="M35" s="76"/>
    </row>
    <row r="36" spans="1:13" s="40" customFormat="1" x14ac:dyDescent="0.2">
      <c r="A36" s="38" t="s">
        <v>2092</v>
      </c>
      <c r="B36" s="39"/>
      <c r="C36" s="43" t="s">
        <v>2093</v>
      </c>
      <c r="D36" s="43"/>
      <c r="E36" s="1178" t="s">
        <v>2093</v>
      </c>
      <c r="F36" s="43"/>
      <c r="G36" s="43" t="s">
        <v>2093</v>
      </c>
      <c r="H36" s="43"/>
      <c r="I36" s="43" t="s">
        <v>2093</v>
      </c>
      <c r="J36" s="43"/>
      <c r="K36" s="43" t="s">
        <v>2093</v>
      </c>
      <c r="L36" s="63"/>
      <c r="M36" s="1077"/>
    </row>
    <row r="37" spans="1:13" s="40" customFormat="1" ht="25.5" x14ac:dyDescent="0.2">
      <c r="A37" s="39" t="s">
        <v>1993</v>
      </c>
      <c r="B37" s="39"/>
      <c r="C37" s="71">
        <v>825</v>
      </c>
      <c r="D37" s="71"/>
      <c r="E37" s="71">
        <v>1097</v>
      </c>
      <c r="F37" s="63"/>
      <c r="G37" s="71"/>
      <c r="H37" s="63"/>
      <c r="I37" s="71">
        <v>834</v>
      </c>
      <c r="J37" s="63"/>
      <c r="K37" s="71"/>
      <c r="L37" s="63"/>
      <c r="M37" s="71"/>
    </row>
    <row r="38" spans="1:13" s="40" customFormat="1" x14ac:dyDescent="0.2">
      <c r="A38" s="41" t="s">
        <v>1994</v>
      </c>
      <c r="B38" s="39"/>
      <c r="C38" s="76">
        <v>638</v>
      </c>
      <c r="D38" s="63"/>
      <c r="E38" s="76">
        <v>640</v>
      </c>
      <c r="F38" s="63"/>
      <c r="G38" s="76"/>
      <c r="H38" s="63"/>
      <c r="I38" s="76">
        <v>660</v>
      </c>
      <c r="J38" s="63"/>
      <c r="K38" s="76"/>
      <c r="L38" s="63"/>
      <c r="M38" s="76"/>
    </row>
    <row r="39" spans="1:13" s="40" customFormat="1" x14ac:dyDescent="0.2">
      <c r="A39" s="41" t="s">
        <v>1998</v>
      </c>
      <c r="B39" s="39"/>
      <c r="C39" s="76">
        <v>577</v>
      </c>
      <c r="D39" s="63"/>
      <c r="E39" s="76">
        <v>578</v>
      </c>
      <c r="F39" s="63"/>
      <c r="G39" s="76"/>
      <c r="H39" s="63"/>
      <c r="I39" s="76">
        <v>627</v>
      </c>
      <c r="J39" s="63"/>
      <c r="K39" s="76"/>
      <c r="L39" s="63"/>
      <c r="M39" s="76"/>
    </row>
    <row r="40" spans="1:13" s="40" customFormat="1" x14ac:dyDescent="0.2">
      <c r="A40" s="41" t="s">
        <v>2094</v>
      </c>
      <c r="B40" s="39"/>
      <c r="C40" s="1179">
        <f t="shared" ref="C40:H40" si="0">C38+C39</f>
        <v>1215</v>
      </c>
      <c r="D40" s="1179"/>
      <c r="E40" s="1179">
        <f t="shared" si="0"/>
        <v>1218</v>
      </c>
      <c r="F40" s="1179"/>
      <c r="G40" s="1179">
        <f t="shared" si="0"/>
        <v>0</v>
      </c>
      <c r="H40" s="1179">
        <f t="shared" si="0"/>
        <v>0</v>
      </c>
      <c r="I40" s="1179">
        <f>I38+I39</f>
        <v>1287</v>
      </c>
      <c r="J40" s="63"/>
      <c r="K40" s="1179"/>
      <c r="L40" s="63"/>
      <c r="M40" s="1179"/>
    </row>
    <row r="41" spans="1:13" s="40" customFormat="1" x14ac:dyDescent="0.2">
      <c r="A41" s="38" t="s">
        <v>2095</v>
      </c>
      <c r="B41" s="39"/>
      <c r="C41" s="111"/>
      <c r="D41" s="111"/>
      <c r="E41" s="111"/>
      <c r="F41" s="63"/>
      <c r="G41" s="63"/>
      <c r="H41" s="63"/>
      <c r="I41" s="63"/>
      <c r="J41" s="63"/>
      <c r="K41" s="63"/>
      <c r="L41" s="63"/>
      <c r="M41" s="1179"/>
    </row>
    <row r="42" spans="1:13" s="40" customFormat="1" x14ac:dyDescent="0.2">
      <c r="A42" s="41" t="s">
        <v>2005</v>
      </c>
      <c r="B42" s="39"/>
      <c r="C42" s="391">
        <v>0.876</v>
      </c>
      <c r="D42" s="111"/>
      <c r="E42" s="391">
        <v>0.875</v>
      </c>
      <c r="F42" s="63"/>
      <c r="G42" s="100"/>
      <c r="H42" s="63"/>
      <c r="I42" s="100"/>
      <c r="J42" s="63"/>
      <c r="K42" s="100"/>
      <c r="L42" s="63"/>
      <c r="M42" s="100"/>
    </row>
    <row r="43" spans="1:13" s="40" customFormat="1" x14ac:dyDescent="0.2">
      <c r="A43" s="41" t="s">
        <v>2096</v>
      </c>
      <c r="B43" s="39"/>
      <c r="C43" s="391">
        <v>0.56999999999999995</v>
      </c>
      <c r="D43" s="111"/>
      <c r="E43" s="391">
        <v>0.59599999999999997</v>
      </c>
      <c r="F43" s="63"/>
      <c r="G43" s="100"/>
      <c r="H43" s="63"/>
      <c r="I43" s="100"/>
      <c r="J43" s="63"/>
      <c r="K43" s="100"/>
      <c r="L43" s="63"/>
      <c r="M43" s="100"/>
    </row>
    <row r="44" spans="1:13" s="40" customFormat="1" x14ac:dyDescent="0.2">
      <c r="A44" s="38" t="s">
        <v>2007</v>
      </c>
      <c r="B44" s="39"/>
      <c r="C44" s="111"/>
      <c r="D44" s="111"/>
      <c r="E44" s="111"/>
      <c r="F44" s="63"/>
      <c r="G44" s="63"/>
      <c r="H44" s="63"/>
      <c r="I44" s="63"/>
      <c r="J44" s="63"/>
      <c r="K44" s="63"/>
      <c r="L44" s="63"/>
      <c r="M44" s="100"/>
    </row>
    <row r="45" spans="1:13" s="40" customFormat="1" x14ac:dyDescent="0.2">
      <c r="A45" s="41" t="s">
        <v>2057</v>
      </c>
      <c r="B45" s="39"/>
      <c r="C45" s="126">
        <v>34708</v>
      </c>
      <c r="D45" s="111"/>
      <c r="E45" s="126">
        <v>35130</v>
      </c>
      <c r="F45" s="63"/>
      <c r="G45" s="97"/>
      <c r="H45" s="63"/>
      <c r="I45" s="97">
        <v>35498</v>
      </c>
      <c r="J45" s="63"/>
      <c r="K45" s="97"/>
      <c r="L45" s="63"/>
      <c r="M45" s="97"/>
    </row>
    <row r="46" spans="1:13" s="40" customFormat="1" x14ac:dyDescent="0.2">
      <c r="A46" s="41" t="s">
        <v>2009</v>
      </c>
      <c r="B46" s="39"/>
      <c r="C46" s="126">
        <v>13434</v>
      </c>
      <c r="D46" s="111"/>
      <c r="E46" s="126">
        <v>13602</v>
      </c>
      <c r="F46" s="63"/>
      <c r="G46" s="97"/>
      <c r="H46" s="63"/>
      <c r="I46" s="97">
        <v>13906</v>
      </c>
      <c r="J46" s="63"/>
      <c r="K46" s="97"/>
      <c r="L46" s="63"/>
      <c r="M46" s="97"/>
    </row>
    <row r="47" spans="1:13" s="40" customFormat="1" x14ac:dyDescent="0.2">
      <c r="A47" s="41" t="s">
        <v>2010</v>
      </c>
      <c r="B47" s="39"/>
      <c r="C47" s="126">
        <v>27652</v>
      </c>
      <c r="D47" s="111"/>
      <c r="E47" s="126">
        <v>28206</v>
      </c>
      <c r="F47" s="63"/>
      <c r="G47" s="97"/>
      <c r="H47" s="63"/>
      <c r="I47" s="97">
        <v>28926</v>
      </c>
      <c r="J47" s="63"/>
      <c r="K47" s="97"/>
      <c r="L47" s="63"/>
      <c r="M47" s="97"/>
    </row>
    <row r="48" spans="1:13" s="40" customFormat="1" x14ac:dyDescent="0.2">
      <c r="A48" s="41" t="s">
        <v>2011</v>
      </c>
      <c r="B48" s="39"/>
      <c r="C48" s="126">
        <v>2674</v>
      </c>
      <c r="D48" s="111"/>
      <c r="E48" s="126">
        <v>2828</v>
      </c>
      <c r="F48" s="63"/>
      <c r="G48" s="97"/>
      <c r="H48" s="63"/>
      <c r="I48" s="97">
        <v>2992</v>
      </c>
      <c r="J48" s="63"/>
      <c r="K48" s="97"/>
      <c r="L48" s="63"/>
      <c r="M48" s="97"/>
    </row>
    <row r="49" spans="1:13" s="40" customFormat="1" x14ac:dyDescent="0.2">
      <c r="A49" s="90"/>
      <c r="B49" s="39"/>
      <c r="C49" s="111"/>
      <c r="D49" s="111"/>
      <c r="E49" s="111"/>
      <c r="F49" s="63"/>
      <c r="G49" s="63"/>
      <c r="H49" s="63"/>
      <c r="I49" s="63"/>
      <c r="J49" s="63"/>
      <c r="K49" s="63"/>
      <c r="L49" s="63"/>
      <c r="M49" s="97"/>
    </row>
    <row r="50" spans="1:13" s="40" customFormat="1" x14ac:dyDescent="0.2">
      <c r="A50" s="35" t="s">
        <v>517</v>
      </c>
      <c r="B50" s="36"/>
      <c r="C50" s="402"/>
      <c r="D50" s="402"/>
      <c r="E50" s="402"/>
      <c r="F50" s="63"/>
      <c r="G50" s="63"/>
      <c r="H50" s="63"/>
      <c r="I50" s="63"/>
      <c r="J50" s="63"/>
      <c r="K50" s="63"/>
      <c r="L50" s="63"/>
      <c r="M50" s="63"/>
    </row>
    <row r="51" spans="1:13" s="37" customFormat="1" x14ac:dyDescent="0.2">
      <c r="A51" s="35" t="s">
        <v>1968</v>
      </c>
      <c r="B51" s="36"/>
      <c r="C51" s="87"/>
      <c r="D51" s="87"/>
      <c r="E51" s="87"/>
      <c r="F51" s="87"/>
      <c r="G51" s="87"/>
      <c r="H51" s="87"/>
      <c r="I51" s="87"/>
      <c r="J51" s="87"/>
      <c r="K51" s="87"/>
      <c r="L51" s="87"/>
      <c r="M51" s="87"/>
    </row>
    <row r="52" spans="1:13" s="37" customFormat="1" x14ac:dyDescent="0.2">
      <c r="A52" s="38" t="s">
        <v>2097</v>
      </c>
      <c r="B52" s="39"/>
      <c r="C52" s="63"/>
      <c r="D52" s="63"/>
      <c r="E52" s="63"/>
      <c r="F52" s="87"/>
      <c r="G52" s="87"/>
      <c r="H52" s="87"/>
      <c r="I52" s="87"/>
      <c r="J52" s="87"/>
      <c r="K52" s="87"/>
      <c r="L52" s="87"/>
      <c r="M52" s="1180"/>
    </row>
    <row r="53" spans="1:13" s="40" customFormat="1" x14ac:dyDescent="0.2">
      <c r="A53" s="41" t="s">
        <v>1298</v>
      </c>
      <c r="B53" s="39"/>
      <c r="C53" s="97">
        <v>114446000</v>
      </c>
      <c r="D53" s="63"/>
      <c r="E53" s="97">
        <v>118745000</v>
      </c>
      <c r="F53" s="63"/>
      <c r="G53" s="97"/>
      <c r="H53" s="63"/>
      <c r="I53" s="97">
        <v>126014000</v>
      </c>
      <c r="J53" s="63"/>
      <c r="K53" s="97"/>
      <c r="L53" s="63"/>
      <c r="M53" s="126"/>
    </row>
    <row r="54" spans="1:13" s="40" customFormat="1" x14ac:dyDescent="0.2">
      <c r="A54" s="41" t="s">
        <v>2098</v>
      </c>
      <c r="B54" s="39"/>
      <c r="C54" s="97">
        <v>71428000</v>
      </c>
      <c r="D54" s="63"/>
      <c r="E54" s="97">
        <v>80326000</v>
      </c>
      <c r="F54" s="63"/>
      <c r="G54" s="97"/>
      <c r="H54" s="63"/>
      <c r="I54" s="97">
        <v>85243000</v>
      </c>
      <c r="J54" s="63"/>
      <c r="K54" s="97"/>
      <c r="L54" s="63"/>
      <c r="M54" s="126"/>
    </row>
    <row r="55" spans="1:13" s="40" customFormat="1" x14ac:dyDescent="0.2">
      <c r="A55" s="41" t="s">
        <v>2019</v>
      </c>
      <c r="B55" s="39"/>
      <c r="C55" s="97">
        <v>2077000</v>
      </c>
      <c r="D55" s="63"/>
      <c r="E55" s="97">
        <v>2022000</v>
      </c>
      <c r="F55" s="63"/>
      <c r="G55" s="97"/>
      <c r="H55" s="63"/>
      <c r="I55" s="97">
        <v>2146000</v>
      </c>
      <c r="J55" s="63"/>
      <c r="K55" s="97"/>
      <c r="L55" s="63"/>
      <c r="M55" s="126"/>
    </row>
    <row r="56" spans="1:13" s="40" customFormat="1" x14ac:dyDescent="0.2">
      <c r="A56" s="41" t="s">
        <v>2020</v>
      </c>
      <c r="B56" s="39"/>
      <c r="C56" s="97">
        <v>30438000</v>
      </c>
      <c r="D56" s="63"/>
      <c r="E56" s="97">
        <v>31328000</v>
      </c>
      <c r="F56" s="63"/>
      <c r="G56" s="97"/>
      <c r="H56" s="63"/>
      <c r="I56" s="97">
        <v>33246000</v>
      </c>
      <c r="J56" s="63"/>
      <c r="K56" s="97"/>
      <c r="L56" s="63"/>
      <c r="M56" s="126"/>
    </row>
    <row r="57" spans="1:13" s="40" customFormat="1" x14ac:dyDescent="0.2">
      <c r="A57" s="41" t="s">
        <v>2021</v>
      </c>
      <c r="B57" s="39"/>
      <c r="C57" s="97">
        <v>24866000</v>
      </c>
      <c r="D57" s="63"/>
      <c r="E57" s="97">
        <v>25837000</v>
      </c>
      <c r="F57" s="63"/>
      <c r="G57" s="97"/>
      <c r="H57" s="63"/>
      <c r="I57" s="97">
        <v>27419000</v>
      </c>
      <c r="J57" s="63"/>
      <c r="K57" s="97"/>
      <c r="L57" s="63"/>
      <c r="M57" s="126"/>
    </row>
    <row r="58" spans="1:13" s="40" customFormat="1" x14ac:dyDescent="0.2">
      <c r="A58" s="41" t="s">
        <v>2022</v>
      </c>
      <c r="B58" s="39"/>
      <c r="C58" s="97">
        <v>52346000</v>
      </c>
      <c r="D58" s="63"/>
      <c r="E58" s="97">
        <v>56990000</v>
      </c>
      <c r="F58" s="63"/>
      <c r="G58" s="97"/>
      <c r="H58" s="63"/>
      <c r="I58" s="97">
        <v>60479000</v>
      </c>
      <c r="J58" s="63"/>
      <c r="K58" s="97"/>
      <c r="L58" s="63"/>
      <c r="M58" s="126"/>
    </row>
    <row r="59" spans="1:13" s="40" customFormat="1" x14ac:dyDescent="0.2">
      <c r="A59" s="41" t="s">
        <v>2023</v>
      </c>
      <c r="B59" s="39"/>
      <c r="C59" s="97">
        <v>20367000</v>
      </c>
      <c r="D59" s="63"/>
      <c r="E59" s="97">
        <v>25155000</v>
      </c>
      <c r="F59" s="63"/>
      <c r="G59" s="97"/>
      <c r="H59" s="63"/>
      <c r="I59" s="97">
        <v>26695000</v>
      </c>
      <c r="J59" s="63"/>
      <c r="K59" s="97"/>
      <c r="L59" s="63"/>
      <c r="M59" s="126"/>
    </row>
    <row r="60" spans="1:13" s="40" customFormat="1" x14ac:dyDescent="0.2">
      <c r="A60" s="90"/>
      <c r="B60" s="39"/>
      <c r="C60" s="63"/>
      <c r="D60" s="63"/>
      <c r="E60" s="63"/>
      <c r="F60" s="63"/>
      <c r="G60" s="63"/>
      <c r="H60" s="63"/>
      <c r="I60" s="63"/>
      <c r="J60" s="63"/>
      <c r="K60" s="63"/>
      <c r="L60" s="63"/>
      <c r="M60" s="126"/>
    </row>
    <row r="61" spans="1:13" s="40" customFormat="1" x14ac:dyDescent="0.2">
      <c r="A61" s="35" t="s">
        <v>194</v>
      </c>
      <c r="B61" s="36"/>
      <c r="C61" s="87"/>
      <c r="D61" s="87"/>
      <c r="E61" s="87"/>
      <c r="F61" s="63"/>
      <c r="G61" s="63"/>
      <c r="H61" s="63"/>
      <c r="I61" s="63"/>
      <c r="J61" s="63"/>
      <c r="K61" s="63"/>
      <c r="L61" s="63"/>
      <c r="M61" s="63"/>
    </row>
    <row r="62" spans="1:13" s="37" customFormat="1" x14ac:dyDescent="0.2">
      <c r="A62" s="35" t="s">
        <v>195</v>
      </c>
      <c r="B62" s="36"/>
      <c r="C62" s="87"/>
      <c r="D62" s="87"/>
      <c r="E62" s="87"/>
      <c r="F62" s="87"/>
      <c r="G62" s="87"/>
      <c r="H62" s="87"/>
      <c r="I62" s="87"/>
      <c r="J62" s="87"/>
      <c r="K62" s="87"/>
      <c r="L62" s="87"/>
      <c r="M62" s="87"/>
    </row>
    <row r="63" spans="1:13" s="37" customFormat="1" x14ac:dyDescent="0.2">
      <c r="A63" s="41" t="s">
        <v>2030</v>
      </c>
      <c r="B63" s="39"/>
      <c r="C63" s="76">
        <v>1187</v>
      </c>
      <c r="D63" s="63"/>
      <c r="E63" s="76">
        <v>1187</v>
      </c>
      <c r="F63" s="87"/>
      <c r="G63" s="76">
        <v>1187</v>
      </c>
      <c r="H63" s="87"/>
      <c r="I63" s="76">
        <v>1187</v>
      </c>
      <c r="J63" s="87"/>
      <c r="K63" s="76">
        <v>1187</v>
      </c>
      <c r="L63" s="87"/>
      <c r="M63" s="88"/>
    </row>
    <row r="64" spans="1:13" s="40" customFormat="1" x14ac:dyDescent="0.2">
      <c r="A64" s="35"/>
      <c r="B64" s="36"/>
      <c r="C64" s="37"/>
      <c r="D64" s="37"/>
      <c r="E64" s="37"/>
      <c r="M64" s="76"/>
    </row>
    <row r="65" spans="1:17" s="37" customFormat="1" x14ac:dyDescent="0.2">
      <c r="A65" s="35"/>
      <c r="B65" s="36"/>
    </row>
    <row r="66" spans="1:17" s="48" customFormat="1" x14ac:dyDescent="0.2">
      <c r="A66" s="46"/>
      <c r="B66" s="47"/>
    </row>
    <row r="67" spans="1:17" s="48" customFormat="1" x14ac:dyDescent="0.2">
      <c r="A67" s="49" t="s">
        <v>200</v>
      </c>
      <c r="B67" s="50"/>
      <c r="C67" s="51"/>
      <c r="D67" s="52"/>
      <c r="E67" s="53"/>
      <c r="F67" s="52"/>
      <c r="G67" s="53"/>
      <c r="H67" s="52"/>
      <c r="I67" s="53"/>
      <c r="J67" s="52"/>
      <c r="K67" s="53"/>
      <c r="L67" s="52"/>
      <c r="M67" s="51"/>
      <c r="N67" s="52"/>
    </row>
    <row r="68" spans="1:17" ht="32.25" customHeight="1" x14ac:dyDescent="0.2">
      <c r="A68" s="1738" t="s">
        <v>2099</v>
      </c>
      <c r="B68" s="1738"/>
      <c r="C68" s="1738"/>
      <c r="D68" s="1738"/>
      <c r="E68" s="1738"/>
      <c r="F68" s="1738"/>
      <c r="G68" s="1738"/>
      <c r="H68" s="1738"/>
      <c r="I68" s="1738"/>
      <c r="J68" s="1738"/>
      <c r="K68" s="1738"/>
      <c r="L68" s="137"/>
      <c r="M68" s="138"/>
      <c r="N68" s="137"/>
      <c r="O68" s="54"/>
      <c r="P68" s="54"/>
      <c r="Q68" s="951"/>
    </row>
    <row r="69" spans="1:17" ht="21" customHeight="1" x14ac:dyDescent="0.2">
      <c r="A69" s="1738" t="s">
        <v>2100</v>
      </c>
      <c r="B69" s="1736"/>
      <c r="C69" s="1737"/>
      <c r="D69" s="1736"/>
      <c r="E69" s="1737"/>
      <c r="F69" s="1736"/>
      <c r="G69" s="1737"/>
      <c r="H69" s="1736"/>
      <c r="I69" s="1737"/>
      <c r="J69" s="1736"/>
      <c r="K69" s="1737"/>
      <c r="L69" s="1736"/>
      <c r="M69" s="1737"/>
      <c r="N69" s="1736"/>
      <c r="O69" s="54"/>
      <c r="P69" s="54"/>
      <c r="Q69" s="951"/>
    </row>
    <row r="70" spans="1:17" ht="20.25" customHeight="1" x14ac:dyDescent="0.2">
      <c r="A70" s="1738" t="s">
        <v>2101</v>
      </c>
      <c r="B70" s="1736"/>
      <c r="C70" s="1737"/>
      <c r="D70" s="1736"/>
      <c r="E70" s="1737"/>
      <c r="F70" s="1736"/>
      <c r="G70" s="1737"/>
      <c r="H70" s="1736"/>
      <c r="I70" s="1737"/>
      <c r="J70" s="1736"/>
      <c r="K70" s="1737"/>
      <c r="L70" s="1736"/>
      <c r="M70" s="1737"/>
      <c r="N70" s="1736"/>
      <c r="O70" s="54"/>
      <c r="P70" s="54"/>
    </row>
    <row r="71" spans="1:17" ht="18" customHeight="1" x14ac:dyDescent="0.2">
      <c r="A71" s="1738" t="s">
        <v>2102</v>
      </c>
      <c r="B71" s="1736"/>
      <c r="C71" s="1737"/>
      <c r="D71" s="1736"/>
      <c r="E71" s="1737"/>
      <c r="F71" s="1736"/>
      <c r="G71" s="1737"/>
      <c r="H71" s="1736"/>
      <c r="I71" s="1737"/>
      <c r="J71" s="1736"/>
      <c r="K71" s="1737"/>
      <c r="L71" s="1736"/>
      <c r="M71" s="1737"/>
      <c r="N71" s="1736"/>
      <c r="O71" s="54"/>
      <c r="P71" s="54"/>
    </row>
    <row r="72" spans="1:17" ht="27.75" customHeight="1" x14ac:dyDescent="0.2">
      <c r="A72" s="1738" t="s">
        <v>2103</v>
      </c>
      <c r="B72" s="1736"/>
      <c r="C72" s="1737"/>
      <c r="D72" s="1736"/>
      <c r="E72" s="1737"/>
      <c r="F72" s="1736"/>
      <c r="G72" s="1737"/>
      <c r="H72" s="1736"/>
      <c r="I72" s="1737"/>
      <c r="J72" s="1736"/>
      <c r="K72" s="1737"/>
      <c r="L72" s="1736"/>
      <c r="M72" s="1737"/>
      <c r="N72" s="1736"/>
      <c r="O72" s="54"/>
      <c r="P72" s="54"/>
    </row>
    <row r="73" spans="1:17" ht="27.75" customHeight="1" x14ac:dyDescent="0.2">
      <c r="A73" s="1738"/>
      <c r="B73" s="1738"/>
      <c r="C73" s="1738"/>
      <c r="D73" s="1738"/>
      <c r="E73" s="1738"/>
      <c r="F73" s="1738"/>
      <c r="G73" s="1738"/>
      <c r="H73" s="1738"/>
      <c r="I73" s="1738"/>
      <c r="J73" s="1738"/>
      <c r="K73" s="1738"/>
      <c r="L73" s="1738"/>
      <c r="M73" s="1738"/>
      <c r="N73" s="1738"/>
      <c r="O73" s="54"/>
      <c r="P73" s="54"/>
    </row>
    <row r="74" spans="1:17" ht="27.75" customHeight="1" x14ac:dyDescent="0.2">
      <c r="A74" s="1735"/>
      <c r="B74" s="1736"/>
      <c r="C74" s="1737"/>
      <c r="D74" s="1736"/>
      <c r="E74" s="1737"/>
      <c r="F74" s="1736"/>
      <c r="G74" s="1737"/>
      <c r="H74" s="1736"/>
      <c r="I74" s="1737"/>
      <c r="J74" s="1736"/>
      <c r="K74" s="1737"/>
      <c r="L74" s="1736"/>
      <c r="M74" s="1737"/>
      <c r="N74" s="1736"/>
      <c r="O74" s="54"/>
      <c r="P74" s="54"/>
    </row>
    <row r="75" spans="1:17" ht="27.75" customHeight="1" x14ac:dyDescent="0.2">
      <c r="A75" s="1735"/>
      <c r="B75" s="1736"/>
      <c r="C75" s="1737"/>
      <c r="D75" s="1736"/>
      <c r="E75" s="1737"/>
      <c r="F75" s="1736"/>
      <c r="G75" s="1737"/>
      <c r="H75" s="1736"/>
      <c r="I75" s="1737"/>
      <c r="J75" s="1736"/>
      <c r="K75" s="1737"/>
      <c r="L75" s="1736"/>
      <c r="M75" s="1737"/>
      <c r="N75" s="1736"/>
      <c r="O75" s="54"/>
      <c r="P75" s="54"/>
    </row>
    <row r="76" spans="1:17" ht="27.75" customHeight="1" x14ac:dyDescent="0.2">
      <c r="A76" s="1735"/>
      <c r="B76" s="1736"/>
      <c r="C76" s="1737"/>
      <c r="D76" s="1736"/>
      <c r="E76" s="1737"/>
      <c r="F76" s="1736"/>
      <c r="G76" s="1737"/>
      <c r="H76" s="1736"/>
      <c r="I76" s="1737"/>
      <c r="J76" s="1736"/>
      <c r="K76" s="1737"/>
      <c r="L76" s="1736"/>
      <c r="M76" s="1737"/>
      <c r="N76" s="1736"/>
      <c r="O76" s="54"/>
      <c r="P76" s="54"/>
    </row>
    <row r="77" spans="1:17" ht="27.75" customHeight="1" x14ac:dyDescent="0.2">
      <c r="A77" s="1735"/>
      <c r="B77" s="1736"/>
      <c r="C77" s="1737"/>
      <c r="D77" s="1736"/>
      <c r="E77" s="1737"/>
      <c r="F77" s="1736"/>
      <c r="G77" s="1737"/>
      <c r="H77" s="1736"/>
      <c r="I77" s="1737"/>
      <c r="J77" s="1736"/>
      <c r="K77" s="1737"/>
      <c r="L77" s="1736"/>
      <c r="M77" s="1737"/>
      <c r="N77" s="1736"/>
      <c r="O77" s="54"/>
      <c r="P77" s="54"/>
    </row>
    <row r="78" spans="1:17" x14ac:dyDescent="0.2">
      <c r="A78" s="55"/>
      <c r="B78" s="54"/>
      <c r="C78" s="56"/>
      <c r="D78" s="54"/>
      <c r="E78" s="56"/>
      <c r="F78" s="54"/>
      <c r="G78" s="56"/>
      <c r="H78" s="54"/>
      <c r="I78" s="56"/>
      <c r="J78" s="54"/>
      <c r="K78" s="56"/>
      <c r="L78" s="54"/>
      <c r="M78" s="56"/>
      <c r="N78" s="54"/>
      <c r="O78" s="54"/>
      <c r="P78" s="54"/>
    </row>
    <row r="79" spans="1:17" x14ac:dyDescent="0.2">
      <c r="A79" s="55"/>
      <c r="B79" s="54"/>
      <c r="C79" s="107"/>
      <c r="D79" s="54"/>
      <c r="E79" s="107"/>
      <c r="F79" s="54"/>
      <c r="G79" s="107"/>
      <c r="H79" s="54"/>
      <c r="I79" s="107"/>
      <c r="J79" s="54"/>
      <c r="K79" s="107"/>
      <c r="L79" s="54"/>
      <c r="M79" s="107"/>
      <c r="N79" s="54"/>
      <c r="O79" s="54"/>
      <c r="P79" s="54"/>
    </row>
    <row r="80" spans="1:17" x14ac:dyDescent="0.2">
      <c r="A80" s="55"/>
      <c r="B80" s="54"/>
      <c r="C80" s="56"/>
      <c r="D80" s="54"/>
      <c r="E80" s="56"/>
      <c r="F80" s="54"/>
      <c r="G80" s="56"/>
      <c r="H80" s="54"/>
      <c r="I80" s="56"/>
      <c r="J80" s="54"/>
      <c r="K80" s="56"/>
      <c r="L80" s="54"/>
      <c r="M80" s="56"/>
      <c r="N80" s="54"/>
      <c r="O80" s="54"/>
      <c r="P80" s="54"/>
    </row>
    <row r="81" spans="1:17" x14ac:dyDescent="0.2">
      <c r="A81" s="55"/>
      <c r="B81" s="54"/>
      <c r="C81" s="54"/>
      <c r="D81" s="54"/>
      <c r="E81" s="54"/>
      <c r="F81" s="54"/>
      <c r="G81" s="54"/>
      <c r="H81" s="54"/>
      <c r="I81" s="54"/>
      <c r="J81" s="54"/>
      <c r="K81" s="54"/>
      <c r="L81" s="54"/>
      <c r="M81" s="54"/>
      <c r="N81" s="54"/>
      <c r="O81" s="54"/>
      <c r="P81" s="54"/>
    </row>
    <row r="82" spans="1:17" x14ac:dyDescent="0.2">
      <c r="A82" s="55"/>
      <c r="B82" s="54"/>
      <c r="C82" s="56"/>
      <c r="D82" s="54"/>
      <c r="E82" s="56"/>
      <c r="F82" s="54"/>
      <c r="G82" s="56"/>
      <c r="H82" s="54"/>
      <c r="I82" s="56"/>
      <c r="J82" s="54"/>
      <c r="K82" s="56"/>
      <c r="L82" s="54"/>
      <c r="M82" s="56"/>
      <c r="N82" s="54"/>
      <c r="O82" s="54"/>
      <c r="P82" s="54"/>
    </row>
    <row r="83" spans="1:17" x14ac:dyDescent="0.2">
      <c r="A83" s="55"/>
      <c r="B83" s="54"/>
      <c r="C83" s="54"/>
      <c r="D83" s="54"/>
      <c r="E83" s="54"/>
      <c r="F83" s="54"/>
      <c r="G83" s="54"/>
      <c r="H83" s="54"/>
      <c r="I83" s="54"/>
      <c r="J83" s="54"/>
      <c r="K83" s="54"/>
      <c r="L83" s="54"/>
      <c r="M83" s="54"/>
      <c r="N83" s="54"/>
      <c r="O83" s="54"/>
      <c r="P83" s="54"/>
    </row>
    <row r="84" spans="1:17" x14ac:dyDescent="0.2">
      <c r="A84" s="55"/>
      <c r="B84" s="54"/>
      <c r="C84" s="54"/>
      <c r="D84" s="54"/>
      <c r="E84" s="54"/>
      <c r="F84" s="54"/>
      <c r="G84" s="54"/>
      <c r="H84" s="54"/>
      <c r="I84" s="54"/>
      <c r="J84" s="54"/>
      <c r="K84" s="54"/>
      <c r="L84" s="54"/>
      <c r="M84" s="54"/>
      <c r="N84" s="54"/>
      <c r="O84" s="54"/>
      <c r="P84" s="54"/>
    </row>
    <row r="85" spans="1:17" x14ac:dyDescent="0.2">
      <c r="A85" s="55"/>
      <c r="B85" s="54"/>
      <c r="C85" s="54"/>
      <c r="D85" s="54"/>
      <c r="E85" s="54"/>
      <c r="F85" s="54"/>
      <c r="G85" s="54"/>
      <c r="H85" s="54"/>
      <c r="I85" s="54"/>
      <c r="J85" s="54"/>
      <c r="K85" s="54"/>
      <c r="L85" s="54"/>
      <c r="M85" s="54"/>
      <c r="N85" s="54"/>
      <c r="O85" s="54"/>
      <c r="P85" s="54"/>
      <c r="Q85" s="57"/>
    </row>
    <row r="86" spans="1:17" x14ac:dyDescent="0.2">
      <c r="B86" s="25"/>
      <c r="C86" s="25"/>
      <c r="D86" s="25"/>
      <c r="E86" s="58"/>
      <c r="F86" s="58"/>
      <c r="G86" s="58"/>
      <c r="H86" s="58"/>
    </row>
    <row r="87" spans="1:17" x14ac:dyDescent="0.2">
      <c r="B87" s="25"/>
      <c r="C87" s="25"/>
      <c r="D87" s="25"/>
      <c r="E87" s="58"/>
      <c r="F87" s="58"/>
      <c r="G87" s="58"/>
      <c r="H87" s="58"/>
    </row>
    <row r="88" spans="1:17" x14ac:dyDescent="0.2">
      <c r="B88" s="25"/>
      <c r="C88" s="25"/>
      <c r="D88" s="25"/>
      <c r="E88" s="58"/>
      <c r="F88" s="58"/>
      <c r="G88" s="58"/>
      <c r="H88" s="58"/>
    </row>
    <row r="89" spans="1:17" x14ac:dyDescent="0.2">
      <c r="B89" s="25"/>
      <c r="C89" s="25"/>
      <c r="D89" s="25"/>
      <c r="E89" s="58"/>
      <c r="F89" s="58"/>
      <c r="G89" s="58"/>
      <c r="H89" s="58"/>
    </row>
    <row r="90" spans="1:17" x14ac:dyDescent="0.2">
      <c r="B90" s="25"/>
      <c r="C90" s="25"/>
      <c r="D90" s="25"/>
      <c r="E90" s="58"/>
      <c r="F90" s="58"/>
      <c r="G90" s="58"/>
      <c r="H90" s="58"/>
    </row>
    <row r="91" spans="1:17" x14ac:dyDescent="0.2">
      <c r="B91" s="25"/>
      <c r="C91" s="25"/>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row>
    <row r="116" spans="2:8" x14ac:dyDescent="0.2">
      <c r="B116" s="25"/>
    </row>
    <row r="117" spans="2:8" x14ac:dyDescent="0.2">
      <c r="B117" s="25"/>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sheetData>
  <mergeCells count="11">
    <mergeCell ref="A74:N74"/>
    <mergeCell ref="A75:N75"/>
    <mergeCell ref="A76:N76"/>
    <mergeCell ref="A77:N77"/>
    <mergeCell ref="K2:K3"/>
    <mergeCell ref="A68:K68"/>
    <mergeCell ref="A69:N69"/>
    <mergeCell ref="A70:N70"/>
    <mergeCell ref="A71:N71"/>
    <mergeCell ref="A72:N72"/>
    <mergeCell ref="A73:N7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rintOptions horizontalCentered="1"/>
  <pageMargins left="0" right="0" top="0" bottom="0" header="0" footer="0"/>
  <pageSetup scale="74" pageOrder="overThenDown" orientation="portrait" blackAndWhite="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7">
    <pageSetUpPr fitToPage="1"/>
  </sheetPr>
  <dimension ref="A1:Q92"/>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572" customWidth="1"/>
    <col min="2" max="2" width="7.28515625" style="1573" customWidth="1"/>
    <col min="3" max="3" width="13.7109375" style="1601" customWidth="1"/>
    <col min="4" max="4" width="3" style="1601" customWidth="1"/>
    <col min="5" max="5" width="13.7109375" style="1600" customWidth="1"/>
    <col min="6" max="6" width="2.85546875" style="1602" customWidth="1"/>
    <col min="7" max="7" width="13.7109375" style="1600" hidden="1" customWidth="1"/>
    <col min="8" max="8" width="3.140625" style="1602" hidden="1" customWidth="1"/>
    <col min="9" max="9" width="13.7109375" style="1600" customWidth="1"/>
    <col min="10" max="10" width="3.140625" style="1602" bestFit="1" customWidth="1"/>
    <col min="11" max="11" width="13.7109375" style="1600" customWidth="1"/>
    <col min="12" max="12" width="3.140625" style="1602" bestFit="1" customWidth="1"/>
    <col min="13" max="13" width="13.7109375" style="1600" hidden="1" customWidth="1"/>
    <col min="14" max="14" width="3.140625" style="1602" hidden="1" customWidth="1"/>
    <col min="15" max="15" width="13.7109375" style="1600" customWidth="1"/>
    <col min="16" max="16" width="2.85546875" style="1602" customWidth="1"/>
    <col min="17" max="17" width="3.42578125" style="1576" customWidth="1"/>
    <col min="18" max="16384" width="9.140625" style="1576"/>
  </cols>
  <sheetData>
    <row r="1" spans="1:16" s="1551" customFormat="1" ht="15.75" x14ac:dyDescent="0.2">
      <c r="A1" s="1548" t="s">
        <v>174</v>
      </c>
      <c r="B1" s="1549">
        <v>2019</v>
      </c>
      <c r="C1" s="1550"/>
      <c r="E1" s="1550"/>
      <c r="G1" s="1552"/>
      <c r="I1" s="1552"/>
      <c r="J1" s="1553"/>
      <c r="K1" s="1552"/>
      <c r="L1" s="1553"/>
      <c r="M1" s="1552"/>
      <c r="N1" s="1553"/>
    </row>
    <row r="2" spans="1:16" s="1551" customFormat="1" ht="15.75" x14ac:dyDescent="0.25">
      <c r="A2" s="1548" t="s">
        <v>175</v>
      </c>
      <c r="B2" s="1554" t="s">
        <v>176</v>
      </c>
      <c r="C2" s="1554" t="s">
        <v>0</v>
      </c>
      <c r="D2" s="1553"/>
      <c r="E2" s="1555"/>
      <c r="F2" s="1556"/>
      <c r="G2" s="1555"/>
      <c r="H2" s="1553"/>
      <c r="I2" s="1555"/>
      <c r="J2" s="1553"/>
      <c r="K2" s="1733" t="s">
        <v>171</v>
      </c>
      <c r="L2" s="1553"/>
      <c r="M2" s="1555"/>
      <c r="N2" s="1553"/>
    </row>
    <row r="3" spans="1:16" s="1551" customFormat="1" ht="15.75" x14ac:dyDescent="0.25">
      <c r="A3" s="1548" t="s">
        <v>177</v>
      </c>
      <c r="B3" s="1557" t="s">
        <v>1496</v>
      </c>
      <c r="C3" s="1557" t="s">
        <v>1896</v>
      </c>
      <c r="D3" s="1553"/>
      <c r="E3" s="1558"/>
      <c r="F3" s="1556"/>
      <c r="G3" s="1558"/>
      <c r="H3" s="1553"/>
      <c r="I3" s="1558"/>
      <c r="J3" s="1553"/>
      <c r="K3" s="1734"/>
      <c r="L3" s="1553"/>
      <c r="M3" s="1558"/>
      <c r="N3" s="1553"/>
    </row>
    <row r="4" spans="1:16" s="1551" customFormat="1" ht="15.75" x14ac:dyDescent="0.25">
      <c r="A4" s="1548" t="s">
        <v>180</v>
      </c>
      <c r="B4" s="1557" t="s">
        <v>1897</v>
      </c>
      <c r="C4" s="1557" t="s">
        <v>46</v>
      </c>
      <c r="D4" s="1553"/>
      <c r="E4" s="1558"/>
      <c r="F4" s="1556"/>
      <c r="G4" s="1558"/>
      <c r="H4" s="1553"/>
      <c r="I4" s="1558"/>
      <c r="J4" s="1553"/>
      <c r="K4" s="1558"/>
      <c r="L4" s="1553"/>
      <c r="M4" s="1558"/>
      <c r="N4" s="1553"/>
    </row>
    <row r="5" spans="1:16" s="1551" customFormat="1" ht="15.75" x14ac:dyDescent="0.2">
      <c r="A5" s="1548" t="s">
        <v>183</v>
      </c>
      <c r="B5" s="1559" t="s">
        <v>2104</v>
      </c>
      <c r="C5" s="1559" t="s">
        <v>54</v>
      </c>
      <c r="D5" s="1560"/>
      <c r="E5" s="1561"/>
      <c r="G5" s="1561"/>
      <c r="I5" s="1561"/>
      <c r="K5" s="1561"/>
      <c r="M5" s="1561"/>
    </row>
    <row r="6" spans="1:16" s="1551" customFormat="1" ht="15.75" x14ac:dyDescent="0.25">
      <c r="A6" s="1562" t="s">
        <v>186</v>
      </c>
      <c r="B6" s="1563">
        <v>4</v>
      </c>
      <c r="C6" s="1564"/>
      <c r="D6" s="1565"/>
      <c r="E6" s="1566"/>
      <c r="F6" s="1556"/>
      <c r="G6" s="1555"/>
      <c r="H6" s="1553"/>
      <c r="I6" s="1555"/>
      <c r="J6" s="1553"/>
      <c r="K6" s="1555"/>
      <c r="L6" s="1553"/>
      <c r="M6" s="1555"/>
      <c r="N6" s="1553"/>
    </row>
    <row r="7" spans="1:16" s="1571" customFormat="1" x14ac:dyDescent="0.2">
      <c r="A7" s="1567"/>
      <c r="B7" s="1568"/>
      <c r="C7" s="1569"/>
      <c r="D7" s="1570"/>
      <c r="E7" s="1569"/>
      <c r="F7" s="1570"/>
      <c r="G7" s="1569"/>
      <c r="H7" s="1570"/>
      <c r="I7" s="1569"/>
      <c r="J7" s="1570"/>
      <c r="K7" s="1569" t="s">
        <v>187</v>
      </c>
      <c r="L7" s="1570"/>
      <c r="M7" s="1569" t="s">
        <v>187</v>
      </c>
      <c r="N7" s="1570"/>
    </row>
    <row r="8" spans="1:16" x14ac:dyDescent="0.2">
      <c r="C8" s="1574" t="s">
        <v>188</v>
      </c>
      <c r="D8" s="1575" t="s">
        <v>189</v>
      </c>
      <c r="E8" s="1574" t="s">
        <v>188</v>
      </c>
      <c r="F8" s="1575" t="s">
        <v>189</v>
      </c>
      <c r="G8" s="1574" t="s">
        <v>190</v>
      </c>
      <c r="H8" s="1575" t="s">
        <v>189</v>
      </c>
      <c r="I8" s="1574" t="s">
        <v>191</v>
      </c>
      <c r="J8" s="1575" t="s">
        <v>189</v>
      </c>
      <c r="K8" s="1574" t="s">
        <v>192</v>
      </c>
      <c r="L8" s="1575" t="s">
        <v>189</v>
      </c>
      <c r="M8" s="1574" t="s">
        <v>192</v>
      </c>
      <c r="N8" s="1575" t="s">
        <v>189</v>
      </c>
      <c r="O8" s="1576"/>
      <c r="P8" s="1576"/>
    </row>
    <row r="9" spans="1:16" s="1571" customFormat="1" ht="14.25" x14ac:dyDescent="0.2">
      <c r="A9" s="1577"/>
      <c r="B9" s="1578"/>
      <c r="C9" s="1579" t="str">
        <f>"FY " &amp; FiscalYear - 3</f>
        <v>FY 2016</v>
      </c>
      <c r="D9" s="1580" t="s">
        <v>193</v>
      </c>
      <c r="E9" s="1579" t="str">
        <f>"FY " &amp; FiscalYear - 2</f>
        <v>FY 2017</v>
      </c>
      <c r="F9" s="1580" t="s">
        <v>193</v>
      </c>
      <c r="G9" s="1579" t="str">
        <f>"FY " &amp; FiscalYear - 1</f>
        <v>FY 2018</v>
      </c>
      <c r="H9" s="1580" t="s">
        <v>193</v>
      </c>
      <c r="I9" s="1581" t="str">
        <f>"FY " &amp; FiscalYear - 1</f>
        <v>FY 2018</v>
      </c>
      <c r="J9" s="1580" t="s">
        <v>193</v>
      </c>
      <c r="K9" s="1581" t="str">
        <f>"FY " &amp; FiscalYear</f>
        <v>FY 2019</v>
      </c>
      <c r="L9" s="1580" t="s">
        <v>193</v>
      </c>
      <c r="M9" s="1581" t="str">
        <f>"FY " &amp; FiscalYear + 1</f>
        <v>FY 2020</v>
      </c>
      <c r="N9" s="1580" t="s">
        <v>193</v>
      </c>
    </row>
    <row r="10" spans="1:16" s="1584" customFormat="1" x14ac:dyDescent="0.2">
      <c r="A10" s="1582" t="s">
        <v>222</v>
      </c>
      <c r="B10" s="1583"/>
    </row>
    <row r="11" spans="1:16" s="1584" customFormat="1" x14ac:dyDescent="0.2">
      <c r="A11" s="1582" t="s">
        <v>1968</v>
      </c>
      <c r="B11" s="1583"/>
      <c r="M11" s="1613"/>
    </row>
    <row r="12" spans="1:16" s="1617" customFormat="1" x14ac:dyDescent="0.2">
      <c r="A12" s="1614" t="s">
        <v>2105</v>
      </c>
      <c r="B12" s="1615"/>
      <c r="C12" s="1616">
        <v>17511</v>
      </c>
      <c r="E12" s="1616">
        <v>16233</v>
      </c>
      <c r="G12" s="1616">
        <v>19262</v>
      </c>
      <c r="I12" s="1616">
        <v>17856</v>
      </c>
      <c r="K12" s="1616">
        <v>17856</v>
      </c>
      <c r="M12" s="1616"/>
    </row>
    <row r="13" spans="1:16" s="1617" customFormat="1" x14ac:dyDescent="0.2">
      <c r="A13" s="1614" t="s">
        <v>2106</v>
      </c>
      <c r="B13" s="1615"/>
      <c r="C13" s="1616">
        <v>959</v>
      </c>
      <c r="E13" s="1616">
        <v>1046</v>
      </c>
      <c r="G13" s="1616">
        <v>1055</v>
      </c>
      <c r="I13" s="1616">
        <v>1151</v>
      </c>
      <c r="K13" s="1616">
        <v>1151</v>
      </c>
      <c r="M13" s="1616"/>
    </row>
    <row r="14" spans="1:16" s="1617" customFormat="1" x14ac:dyDescent="0.2">
      <c r="A14" s="1614" t="s">
        <v>1981</v>
      </c>
      <c r="B14" s="1615"/>
      <c r="C14" s="1616">
        <v>31</v>
      </c>
      <c r="E14" s="1616">
        <v>39</v>
      </c>
      <c r="G14" s="1616">
        <v>33</v>
      </c>
      <c r="I14" s="1616">
        <v>39</v>
      </c>
      <c r="K14" s="1616">
        <v>39</v>
      </c>
      <c r="M14" s="1616"/>
    </row>
    <row r="15" spans="1:16" s="1617" customFormat="1" x14ac:dyDescent="0.2">
      <c r="A15" s="1618" t="s">
        <v>2107</v>
      </c>
      <c r="B15" s="1615"/>
      <c r="C15" s="1616">
        <v>32</v>
      </c>
      <c r="E15" s="1616">
        <v>32</v>
      </c>
      <c r="G15" s="1616">
        <v>33</v>
      </c>
      <c r="I15" s="1616">
        <v>32</v>
      </c>
      <c r="K15" s="1616">
        <v>32</v>
      </c>
      <c r="M15" s="1616"/>
    </row>
    <row r="16" spans="1:16" s="1617" customFormat="1" x14ac:dyDescent="0.2">
      <c r="A16" s="1618" t="s">
        <v>2108</v>
      </c>
      <c r="B16" s="1615"/>
      <c r="C16" s="1616">
        <v>86</v>
      </c>
      <c r="E16" s="1616">
        <v>67</v>
      </c>
      <c r="G16" s="1616">
        <v>79</v>
      </c>
      <c r="I16" s="1616">
        <v>67</v>
      </c>
      <c r="K16" s="1616">
        <v>67</v>
      </c>
      <c r="M16" s="1616"/>
    </row>
    <row r="17" spans="1:16" s="1617" customFormat="1" x14ac:dyDescent="0.2">
      <c r="A17" s="1618" t="s">
        <v>2109</v>
      </c>
      <c r="B17" s="1615"/>
      <c r="C17" s="1616">
        <v>12</v>
      </c>
      <c r="E17" s="1616">
        <v>15</v>
      </c>
      <c r="G17" s="1616">
        <v>13</v>
      </c>
      <c r="I17" s="1616">
        <v>15</v>
      </c>
      <c r="K17" s="1616">
        <v>15</v>
      </c>
      <c r="M17" s="1616"/>
    </row>
    <row r="18" spans="1:16" s="1617" customFormat="1" x14ac:dyDescent="0.2">
      <c r="A18" s="1618" t="s">
        <v>2110</v>
      </c>
      <c r="B18" s="1615"/>
      <c r="C18" s="1616">
        <v>0</v>
      </c>
      <c r="E18" s="1616">
        <v>1</v>
      </c>
      <c r="G18" s="1616">
        <v>1</v>
      </c>
      <c r="I18" s="1616">
        <v>1</v>
      </c>
      <c r="K18" s="1616">
        <v>1</v>
      </c>
      <c r="M18" s="1616"/>
    </row>
    <row r="19" spans="1:16" s="1617" customFormat="1" x14ac:dyDescent="0.2">
      <c r="A19" s="1614" t="s">
        <v>1983</v>
      </c>
      <c r="B19" s="1615"/>
      <c r="C19" s="1616">
        <v>3059</v>
      </c>
      <c r="E19" s="1616">
        <v>2765</v>
      </c>
      <c r="G19" s="1616">
        <v>3365</v>
      </c>
      <c r="I19" s="1616">
        <v>2793</v>
      </c>
      <c r="K19" s="1616">
        <v>2821</v>
      </c>
      <c r="M19" s="1616"/>
    </row>
    <row r="20" spans="1:16" s="1617" customFormat="1" x14ac:dyDescent="0.2">
      <c r="A20" s="1618" t="s">
        <v>2111</v>
      </c>
      <c r="B20" s="1615"/>
      <c r="C20" s="1616">
        <v>526</v>
      </c>
      <c r="E20" s="1616">
        <v>404</v>
      </c>
      <c r="G20" s="1616">
        <v>579</v>
      </c>
      <c r="I20" s="1616">
        <v>419</v>
      </c>
      <c r="K20" s="1616">
        <v>423</v>
      </c>
      <c r="M20" s="1616"/>
    </row>
    <row r="21" spans="1:16" s="1617" customFormat="1" x14ac:dyDescent="0.2">
      <c r="A21" s="1618" t="s">
        <v>2112</v>
      </c>
      <c r="B21" s="1615"/>
      <c r="C21" s="1616">
        <v>2334</v>
      </c>
      <c r="E21" s="1616">
        <v>2167</v>
      </c>
      <c r="G21" s="1616">
        <v>2567</v>
      </c>
      <c r="I21" s="1616">
        <v>2178</v>
      </c>
      <c r="K21" s="1616">
        <v>2200</v>
      </c>
      <c r="M21" s="1616"/>
    </row>
    <row r="22" spans="1:16" s="1617" customFormat="1" x14ac:dyDescent="0.2">
      <c r="A22" s="1618" t="s">
        <v>1985</v>
      </c>
      <c r="B22" s="1615"/>
      <c r="C22" s="1616">
        <v>199</v>
      </c>
      <c r="E22" s="1616">
        <v>194</v>
      </c>
      <c r="G22" s="1616">
        <v>219</v>
      </c>
      <c r="I22" s="1616">
        <v>196</v>
      </c>
      <c r="K22" s="1616">
        <v>198</v>
      </c>
      <c r="M22" s="1616"/>
    </row>
    <row r="23" spans="1:16" s="1617" customFormat="1" x14ac:dyDescent="0.2">
      <c r="A23" s="1614" t="s">
        <v>2113</v>
      </c>
      <c r="B23" s="1615"/>
      <c r="C23" s="1616">
        <v>4472</v>
      </c>
      <c r="E23" s="1616">
        <v>4088</v>
      </c>
      <c r="G23" s="1616">
        <v>4919</v>
      </c>
      <c r="I23" s="1616">
        <v>4108</v>
      </c>
      <c r="K23" s="1616">
        <v>4129</v>
      </c>
      <c r="M23" s="1616"/>
    </row>
    <row r="24" spans="1:16" s="1617" customFormat="1" x14ac:dyDescent="0.2">
      <c r="A24" s="1614" t="s">
        <v>2114</v>
      </c>
      <c r="B24" s="1615"/>
      <c r="C24" s="1616">
        <v>99510</v>
      </c>
      <c r="E24" s="1616">
        <v>96196</v>
      </c>
      <c r="G24" s="1616">
        <v>109461</v>
      </c>
      <c r="I24" s="1616">
        <v>97158</v>
      </c>
      <c r="K24" s="1616">
        <v>98130</v>
      </c>
      <c r="M24" s="1616"/>
    </row>
    <row r="25" spans="1:16" s="1588" customFormat="1" x14ac:dyDescent="0.2">
      <c r="A25" s="1585"/>
      <c r="B25" s="1586"/>
      <c r="C25" s="1619"/>
      <c r="G25" s="1619"/>
      <c r="I25" s="1619"/>
      <c r="K25" s="1619"/>
      <c r="M25" s="1613"/>
    </row>
    <row r="26" spans="1:16" s="1584" customFormat="1" x14ac:dyDescent="0.2">
      <c r="A26" s="1582" t="s">
        <v>194</v>
      </c>
      <c r="B26" s="1583"/>
      <c r="C26" s="1620"/>
      <c r="G26" s="1620"/>
      <c r="I26" s="1620"/>
      <c r="K26" s="1620"/>
      <c r="M26" s="1613"/>
    </row>
    <row r="27" spans="1:16" s="1584" customFormat="1" x14ac:dyDescent="0.2">
      <c r="A27" s="1582" t="s">
        <v>195</v>
      </c>
      <c r="B27" s="1583"/>
      <c r="C27" s="1620"/>
      <c r="G27" s="1620"/>
      <c r="I27" s="1620"/>
      <c r="K27" s="1620"/>
      <c r="M27" s="1613"/>
    </row>
    <row r="28" spans="1:16" s="1588" customFormat="1" x14ac:dyDescent="0.2">
      <c r="A28" s="1585" t="s">
        <v>2030</v>
      </c>
      <c r="B28" s="1586"/>
      <c r="C28" s="1613">
        <v>228</v>
      </c>
      <c r="D28" s="1621"/>
      <c r="E28" s="1613">
        <v>228</v>
      </c>
      <c r="F28" s="1621"/>
      <c r="G28" s="1613">
        <v>228</v>
      </c>
      <c r="I28" s="1613">
        <v>228</v>
      </c>
      <c r="K28" s="1613">
        <v>228</v>
      </c>
      <c r="M28" s="1613"/>
    </row>
    <row r="29" spans="1:16" s="1591" customFormat="1" x14ac:dyDescent="0.2">
      <c r="A29" s="1589"/>
      <c r="B29" s="1590"/>
    </row>
    <row r="30" spans="1:16" s="1591" customFormat="1" x14ac:dyDescent="0.2">
      <c r="A30" s="1622" t="s">
        <v>200</v>
      </c>
      <c r="B30" s="1623"/>
      <c r="C30" s="1624"/>
      <c r="D30" s="1625"/>
      <c r="E30" s="1626"/>
      <c r="F30" s="1625"/>
      <c r="G30" s="1626"/>
      <c r="H30" s="1625"/>
      <c r="I30" s="1626"/>
      <c r="J30" s="1625"/>
      <c r="K30" s="1626"/>
      <c r="L30" s="1625"/>
      <c r="M30" s="1624"/>
      <c r="N30" s="1625"/>
    </row>
    <row r="31" spans="1:16" x14ac:dyDescent="0.2">
      <c r="A31" s="1821"/>
      <c r="B31" s="1736"/>
      <c r="C31" s="1737"/>
      <c r="D31" s="1736"/>
      <c r="E31" s="1737"/>
      <c r="F31" s="1736"/>
      <c r="G31" s="1737"/>
      <c r="H31" s="1736"/>
      <c r="I31" s="1737"/>
      <c r="J31" s="1736"/>
      <c r="K31" s="1737"/>
      <c r="L31" s="1736"/>
      <c r="M31" s="1737"/>
      <c r="N31" s="1736"/>
      <c r="O31" s="54"/>
      <c r="P31" s="54"/>
    </row>
    <row r="32" spans="1:16" ht="27.75" customHeight="1" x14ac:dyDescent="0.2">
      <c r="A32" s="1820"/>
      <c r="B32" s="1736"/>
      <c r="C32" s="1737"/>
      <c r="D32" s="1736"/>
      <c r="E32" s="1737"/>
      <c r="F32" s="1736"/>
      <c r="G32" s="1737"/>
      <c r="H32" s="1736"/>
      <c r="I32" s="1737"/>
      <c r="J32" s="1736"/>
      <c r="K32" s="1737"/>
      <c r="L32" s="1736"/>
      <c r="M32" s="1737"/>
      <c r="N32" s="1736"/>
      <c r="O32" s="54"/>
      <c r="P32" s="54"/>
    </row>
    <row r="33" spans="1:17" ht="27.75" customHeight="1" x14ac:dyDescent="0.2">
      <c r="A33" s="1820"/>
      <c r="B33" s="1736"/>
      <c r="C33" s="1737"/>
      <c r="D33" s="1736"/>
      <c r="E33" s="1737"/>
      <c r="F33" s="1736"/>
      <c r="G33" s="1737"/>
      <c r="H33" s="1736"/>
      <c r="I33" s="1737"/>
      <c r="J33" s="1736"/>
      <c r="K33" s="1737"/>
      <c r="L33" s="1736"/>
      <c r="M33" s="1737"/>
      <c r="N33" s="1736"/>
      <c r="O33" s="54"/>
      <c r="P33" s="54"/>
    </row>
    <row r="34" spans="1:17" ht="27.75" customHeight="1" x14ac:dyDescent="0.2">
      <c r="A34" s="1820"/>
      <c r="B34" s="1736"/>
      <c r="C34" s="1737"/>
      <c r="D34" s="1736"/>
      <c r="E34" s="1737"/>
      <c r="F34" s="1736"/>
      <c r="G34" s="1737"/>
      <c r="H34" s="1736"/>
      <c r="I34" s="1737"/>
      <c r="J34" s="1736"/>
      <c r="K34" s="1737"/>
      <c r="L34" s="1736"/>
      <c r="M34" s="1737"/>
      <c r="N34" s="1736"/>
      <c r="O34" s="54"/>
      <c r="P34" s="54"/>
    </row>
    <row r="35" spans="1:17" ht="27.75" customHeight="1" x14ac:dyDescent="0.2">
      <c r="A35" s="1820"/>
      <c r="B35" s="1736"/>
      <c r="C35" s="1737"/>
      <c r="D35" s="1736"/>
      <c r="E35" s="1737"/>
      <c r="F35" s="1736"/>
      <c r="G35" s="1737"/>
      <c r="H35" s="1736"/>
      <c r="I35" s="1737"/>
      <c r="J35" s="1736"/>
      <c r="K35" s="1737"/>
      <c r="L35" s="1736"/>
      <c r="M35" s="1737"/>
      <c r="N35" s="1736"/>
      <c r="O35" s="54"/>
      <c r="P35" s="54"/>
    </row>
    <row r="36" spans="1:17" ht="27.75" customHeight="1" x14ac:dyDescent="0.2">
      <c r="A36" s="1820"/>
      <c r="B36" s="1736"/>
      <c r="C36" s="1737"/>
      <c r="D36" s="1736"/>
      <c r="E36" s="1737"/>
      <c r="F36" s="1736"/>
      <c r="G36" s="1737"/>
      <c r="H36" s="1736"/>
      <c r="I36" s="1737"/>
      <c r="J36" s="1736"/>
      <c r="K36" s="1737"/>
      <c r="L36" s="1736"/>
      <c r="M36" s="1737"/>
      <c r="N36" s="1736"/>
      <c r="O36" s="54"/>
      <c r="P36" s="54"/>
    </row>
    <row r="37" spans="1:17" ht="27.75" customHeight="1" x14ac:dyDescent="0.2">
      <c r="A37" s="1820"/>
      <c r="B37" s="1736"/>
      <c r="C37" s="1737"/>
      <c r="D37" s="1736"/>
      <c r="E37" s="1737"/>
      <c r="F37" s="1736"/>
      <c r="G37" s="1737"/>
      <c r="H37" s="1736"/>
      <c r="I37" s="1737"/>
      <c r="J37" s="1736"/>
      <c r="K37" s="1737"/>
      <c r="L37" s="1736"/>
      <c r="M37" s="1737"/>
      <c r="N37" s="1736"/>
      <c r="O37" s="54"/>
      <c r="P37" s="54"/>
    </row>
    <row r="38" spans="1:17" ht="27.75" customHeight="1" x14ac:dyDescent="0.2">
      <c r="A38" s="1820"/>
      <c r="B38" s="1736"/>
      <c r="C38" s="1737"/>
      <c r="D38" s="1736"/>
      <c r="E38" s="1737"/>
      <c r="F38" s="1736"/>
      <c r="G38" s="1737"/>
      <c r="H38" s="1736"/>
      <c r="I38" s="1737"/>
      <c r="J38" s="1736"/>
      <c r="K38" s="1737"/>
      <c r="L38" s="1736"/>
      <c r="M38" s="1737"/>
      <c r="N38" s="1736"/>
      <c r="O38" s="54"/>
      <c r="P38" s="54"/>
    </row>
    <row r="39" spans="1:17" x14ac:dyDescent="0.2">
      <c r="A39" s="1597"/>
      <c r="B39" s="54"/>
      <c r="C39" s="56"/>
      <c r="D39" s="54"/>
      <c r="E39" s="56"/>
      <c r="F39" s="54"/>
      <c r="G39" s="56"/>
      <c r="H39" s="54"/>
      <c r="I39" s="56"/>
      <c r="J39" s="54"/>
      <c r="K39" s="56"/>
      <c r="L39" s="54"/>
      <c r="M39" s="56"/>
      <c r="N39" s="54"/>
      <c r="O39" s="54"/>
      <c r="P39" s="54"/>
    </row>
    <row r="40" spans="1:17" x14ac:dyDescent="0.2">
      <c r="A40" s="1597"/>
      <c r="B40" s="54"/>
      <c r="C40" s="54"/>
      <c r="D40" s="54"/>
      <c r="E40" s="54"/>
      <c r="F40" s="54"/>
      <c r="G40" s="54"/>
      <c r="H40" s="54"/>
      <c r="I40" s="54"/>
      <c r="J40" s="54"/>
      <c r="K40" s="54"/>
      <c r="L40" s="54"/>
      <c r="M40" s="54"/>
      <c r="N40" s="54"/>
      <c r="O40" s="54"/>
      <c r="P40" s="54"/>
    </row>
    <row r="41" spans="1:17" x14ac:dyDescent="0.2">
      <c r="A41" s="1597"/>
      <c r="B41" s="54"/>
      <c r="C41" s="56"/>
      <c r="D41" s="54"/>
      <c r="E41" s="56"/>
      <c r="F41" s="54"/>
      <c r="G41" s="56"/>
      <c r="H41" s="54"/>
      <c r="I41" s="56"/>
      <c r="J41" s="54"/>
      <c r="K41" s="56"/>
      <c r="L41" s="54"/>
      <c r="M41" s="56"/>
      <c r="N41" s="54"/>
      <c r="O41" s="54"/>
      <c r="P41" s="54"/>
    </row>
    <row r="42" spans="1:17" x14ac:dyDescent="0.2">
      <c r="A42" s="1597"/>
      <c r="B42" s="54"/>
      <c r="C42" s="54"/>
      <c r="D42" s="54"/>
      <c r="E42" s="54"/>
      <c r="F42" s="54"/>
      <c r="G42" s="54"/>
      <c r="H42" s="54"/>
      <c r="I42" s="54"/>
      <c r="J42" s="54"/>
      <c r="K42" s="54"/>
      <c r="L42" s="54"/>
      <c r="M42" s="54"/>
      <c r="N42" s="54"/>
      <c r="O42" s="54"/>
      <c r="P42" s="54"/>
    </row>
    <row r="43" spans="1:17" x14ac:dyDescent="0.2">
      <c r="A43" s="1597"/>
      <c r="B43" s="54"/>
      <c r="C43" s="56"/>
      <c r="D43" s="54"/>
      <c r="E43" s="56"/>
      <c r="F43" s="54"/>
      <c r="G43" s="56"/>
      <c r="H43" s="54"/>
      <c r="I43" s="56"/>
      <c r="J43" s="54"/>
      <c r="K43" s="56"/>
      <c r="L43" s="54"/>
      <c r="M43" s="56"/>
      <c r="N43" s="54"/>
      <c r="O43" s="54"/>
      <c r="P43" s="54"/>
    </row>
    <row r="44" spans="1:17" x14ac:dyDescent="0.2">
      <c r="A44" s="1597"/>
      <c r="B44" s="54"/>
      <c r="C44" s="54"/>
      <c r="D44" s="54"/>
      <c r="E44" s="54"/>
      <c r="F44" s="54"/>
      <c r="G44" s="54"/>
      <c r="H44" s="54"/>
      <c r="I44" s="54"/>
      <c r="J44" s="54"/>
      <c r="K44" s="54"/>
      <c r="L44" s="54"/>
      <c r="M44" s="54"/>
      <c r="N44" s="54"/>
      <c r="O44" s="54"/>
      <c r="P44" s="54"/>
    </row>
    <row r="45" spans="1:17" x14ac:dyDescent="0.2">
      <c r="A45" s="1597"/>
      <c r="B45" s="54"/>
      <c r="C45" s="54"/>
      <c r="D45" s="54"/>
      <c r="E45" s="54"/>
      <c r="F45" s="54"/>
      <c r="G45" s="54"/>
      <c r="H45" s="54"/>
      <c r="I45" s="54"/>
      <c r="J45" s="54"/>
      <c r="K45" s="54"/>
      <c r="L45" s="54"/>
      <c r="M45" s="54"/>
      <c r="N45" s="54"/>
      <c r="O45" s="54"/>
      <c r="P45" s="54"/>
    </row>
    <row r="46" spans="1:17" x14ac:dyDescent="0.2">
      <c r="A46" s="1597"/>
      <c r="B46" s="54"/>
      <c r="C46" s="54"/>
      <c r="D46" s="54"/>
      <c r="E46" s="54"/>
      <c r="F46" s="54"/>
      <c r="G46" s="54"/>
      <c r="H46" s="54"/>
      <c r="I46" s="54"/>
      <c r="J46" s="54"/>
      <c r="K46" s="54"/>
      <c r="L46" s="54"/>
      <c r="M46" s="54"/>
      <c r="N46" s="54"/>
      <c r="O46" s="54"/>
      <c r="P46" s="54"/>
      <c r="Q46" s="1598"/>
    </row>
    <row r="47" spans="1:17" x14ac:dyDescent="0.2">
      <c r="B47" s="1572"/>
      <c r="C47" s="1572"/>
      <c r="D47" s="1572"/>
      <c r="E47" s="1599"/>
      <c r="F47" s="1599"/>
      <c r="G47" s="1599"/>
      <c r="H47" s="1599"/>
    </row>
    <row r="48" spans="1:17" x14ac:dyDescent="0.2">
      <c r="B48" s="1572"/>
      <c r="C48" s="1572"/>
      <c r="D48" s="1572"/>
      <c r="E48" s="1599"/>
      <c r="F48" s="1599"/>
      <c r="G48" s="1599"/>
      <c r="H48" s="1599"/>
    </row>
    <row r="49" spans="2:8" x14ac:dyDescent="0.2">
      <c r="B49" s="1572"/>
      <c r="C49" s="1572"/>
      <c r="D49" s="1572"/>
      <c r="E49" s="1599"/>
      <c r="F49" s="1599"/>
      <c r="G49" s="1599"/>
      <c r="H49" s="1599"/>
    </row>
    <row r="50" spans="2:8" x14ac:dyDescent="0.2">
      <c r="B50" s="1572"/>
      <c r="C50" s="1572"/>
      <c r="D50" s="1572"/>
      <c r="E50" s="1599"/>
      <c r="F50" s="1599"/>
      <c r="G50" s="1599"/>
      <c r="H50" s="1599"/>
    </row>
    <row r="51" spans="2:8" x14ac:dyDescent="0.2">
      <c r="B51" s="1572"/>
      <c r="C51" s="1572"/>
      <c r="D51" s="1572"/>
      <c r="E51" s="1599"/>
      <c r="F51" s="1599"/>
      <c r="G51" s="1599"/>
      <c r="H51" s="1599"/>
    </row>
    <row r="52" spans="2:8" x14ac:dyDescent="0.2">
      <c r="B52" s="1572"/>
      <c r="C52" s="1572"/>
      <c r="D52" s="1572"/>
      <c r="E52" s="1599"/>
      <c r="F52" s="1599"/>
      <c r="G52" s="1599"/>
      <c r="H52" s="1599"/>
    </row>
    <row r="53" spans="2:8" x14ac:dyDescent="0.2">
      <c r="B53" s="1572"/>
      <c r="C53" s="1572"/>
      <c r="D53" s="1572"/>
      <c r="E53" s="1599"/>
      <c r="F53" s="1599"/>
      <c r="G53" s="1599"/>
      <c r="H53" s="1599"/>
    </row>
    <row r="54" spans="2:8" x14ac:dyDescent="0.2">
      <c r="B54" s="1572"/>
      <c r="C54" s="1572"/>
      <c r="D54" s="1572"/>
      <c r="E54" s="1599"/>
      <c r="F54" s="1599"/>
      <c r="G54" s="1599"/>
      <c r="H54" s="1599"/>
    </row>
    <row r="55" spans="2:8" x14ac:dyDescent="0.2">
      <c r="B55" s="1572"/>
      <c r="C55" s="1572"/>
      <c r="D55" s="1572"/>
      <c r="E55" s="1599"/>
      <c r="F55" s="1599"/>
      <c r="G55" s="1599"/>
      <c r="H55" s="1599"/>
    </row>
    <row r="56" spans="2:8" x14ac:dyDescent="0.2">
      <c r="B56" s="1572"/>
      <c r="C56" s="1572"/>
      <c r="D56" s="1572"/>
      <c r="E56" s="1599"/>
      <c r="F56" s="1599"/>
      <c r="G56" s="1599"/>
      <c r="H56" s="1599"/>
    </row>
    <row r="57" spans="2:8" x14ac:dyDescent="0.2">
      <c r="B57" s="1572"/>
      <c r="C57" s="1572"/>
      <c r="D57" s="1572"/>
      <c r="E57" s="1599"/>
      <c r="F57" s="1599"/>
      <c r="G57" s="1599"/>
      <c r="H57" s="1599"/>
    </row>
    <row r="58" spans="2:8" x14ac:dyDescent="0.2">
      <c r="B58" s="1572"/>
      <c r="C58" s="1572"/>
      <c r="D58" s="1572"/>
      <c r="E58" s="1599"/>
      <c r="F58" s="1599"/>
      <c r="G58" s="1599"/>
      <c r="H58" s="1599"/>
    </row>
    <row r="59" spans="2:8" x14ac:dyDescent="0.2">
      <c r="B59" s="1572"/>
      <c r="C59" s="1572"/>
      <c r="D59" s="1572"/>
      <c r="E59" s="1599"/>
      <c r="F59" s="1599"/>
      <c r="G59" s="1599"/>
      <c r="H59" s="1599"/>
    </row>
    <row r="60" spans="2:8" x14ac:dyDescent="0.2">
      <c r="B60" s="1572"/>
      <c r="C60" s="1572"/>
      <c r="D60" s="1572"/>
      <c r="E60" s="1599"/>
      <c r="F60" s="1599"/>
      <c r="G60" s="1599"/>
      <c r="H60" s="1599"/>
    </row>
    <row r="61" spans="2:8" x14ac:dyDescent="0.2">
      <c r="B61" s="1572"/>
      <c r="C61" s="1572"/>
      <c r="D61" s="1572"/>
      <c r="E61" s="1599"/>
      <c r="F61" s="1599"/>
      <c r="G61" s="1599"/>
      <c r="H61" s="1599"/>
    </row>
    <row r="62" spans="2:8" x14ac:dyDescent="0.2">
      <c r="B62" s="1572"/>
      <c r="C62" s="1572"/>
      <c r="D62" s="1572"/>
      <c r="E62" s="1599"/>
      <c r="F62" s="1599"/>
      <c r="G62" s="1599"/>
      <c r="H62" s="1599"/>
    </row>
    <row r="63" spans="2:8" x14ac:dyDescent="0.2">
      <c r="B63" s="1572"/>
      <c r="C63" s="1572"/>
      <c r="D63" s="1572"/>
      <c r="E63" s="1599"/>
      <c r="F63" s="1599"/>
      <c r="G63" s="1599"/>
      <c r="H63" s="1599"/>
    </row>
    <row r="64" spans="2:8" x14ac:dyDescent="0.2">
      <c r="B64" s="1572"/>
      <c r="C64" s="1572"/>
      <c r="D64" s="1572"/>
      <c r="E64" s="1599"/>
      <c r="F64" s="1599"/>
      <c r="G64" s="1599"/>
      <c r="H64" s="1599"/>
    </row>
    <row r="65" spans="2:8" x14ac:dyDescent="0.2">
      <c r="B65" s="1572"/>
      <c r="C65" s="1572"/>
      <c r="D65" s="1572"/>
      <c r="E65" s="1599"/>
      <c r="F65" s="1599"/>
      <c r="G65" s="1599"/>
      <c r="H65" s="1599"/>
    </row>
    <row r="66" spans="2:8" x14ac:dyDescent="0.2">
      <c r="B66" s="1572"/>
      <c r="C66" s="1572"/>
      <c r="D66" s="1572"/>
      <c r="E66" s="1599"/>
      <c r="F66" s="1599"/>
      <c r="G66" s="1599"/>
      <c r="H66" s="1599"/>
    </row>
    <row r="67" spans="2:8" x14ac:dyDescent="0.2">
      <c r="B67" s="1572"/>
      <c r="C67" s="1572"/>
      <c r="D67" s="1572"/>
      <c r="E67" s="1599"/>
      <c r="F67" s="1599"/>
      <c r="G67" s="1599"/>
      <c r="H67" s="1599"/>
    </row>
    <row r="68" spans="2:8" x14ac:dyDescent="0.2">
      <c r="B68" s="1572"/>
      <c r="C68" s="1572"/>
      <c r="D68" s="1572"/>
      <c r="E68" s="1599"/>
      <c r="F68" s="1599"/>
      <c r="G68" s="1599"/>
      <c r="H68" s="1599"/>
    </row>
    <row r="69" spans="2:8" x14ac:dyDescent="0.2">
      <c r="B69" s="1572"/>
      <c r="C69" s="1572"/>
      <c r="D69" s="1572"/>
      <c r="E69" s="1599"/>
      <c r="F69" s="1599"/>
      <c r="G69" s="1599"/>
      <c r="H69" s="1599"/>
    </row>
    <row r="70" spans="2:8" x14ac:dyDescent="0.2">
      <c r="B70" s="1572"/>
      <c r="C70" s="1572"/>
      <c r="D70" s="1572"/>
      <c r="E70" s="1599"/>
      <c r="F70" s="1599"/>
      <c r="G70" s="1599"/>
      <c r="H70" s="1599"/>
    </row>
    <row r="71" spans="2:8" x14ac:dyDescent="0.2">
      <c r="B71" s="1572"/>
      <c r="C71" s="1572"/>
      <c r="D71" s="1572"/>
      <c r="E71" s="1599"/>
      <c r="F71" s="1599"/>
      <c r="G71" s="1599"/>
      <c r="H71" s="1599"/>
    </row>
    <row r="72" spans="2:8" x14ac:dyDescent="0.2">
      <c r="B72" s="1572"/>
      <c r="C72" s="1572"/>
      <c r="D72" s="1572"/>
      <c r="E72" s="1599"/>
      <c r="F72" s="1599"/>
      <c r="G72" s="1599"/>
      <c r="H72" s="1599"/>
    </row>
    <row r="73" spans="2:8" x14ac:dyDescent="0.2">
      <c r="B73" s="1572"/>
      <c r="C73" s="1572"/>
      <c r="D73" s="1572"/>
      <c r="E73" s="1599"/>
      <c r="F73" s="1599"/>
      <c r="G73" s="1599"/>
      <c r="H73" s="1599"/>
    </row>
    <row r="74" spans="2:8" x14ac:dyDescent="0.2">
      <c r="B74" s="1572"/>
      <c r="C74" s="1572"/>
      <c r="D74" s="1572"/>
      <c r="E74" s="1599"/>
      <c r="F74" s="1599"/>
      <c r="G74" s="1599"/>
      <c r="H74" s="1599"/>
    </row>
    <row r="75" spans="2:8" x14ac:dyDescent="0.2">
      <c r="B75" s="1572"/>
      <c r="C75" s="1572"/>
      <c r="D75" s="1572"/>
      <c r="E75" s="1599"/>
      <c r="F75" s="1599"/>
      <c r="G75" s="1599"/>
      <c r="H75" s="1599"/>
    </row>
    <row r="76" spans="2:8" x14ac:dyDescent="0.2">
      <c r="B76" s="1572"/>
    </row>
    <row r="77" spans="2:8" x14ac:dyDescent="0.2">
      <c r="B77" s="1572"/>
    </row>
    <row r="78" spans="2:8" x14ac:dyDescent="0.2">
      <c r="B78" s="1572"/>
    </row>
    <row r="79" spans="2:8" x14ac:dyDescent="0.2">
      <c r="B79" s="1572"/>
    </row>
    <row r="80" spans="2:8" x14ac:dyDescent="0.2">
      <c r="B80" s="1572"/>
    </row>
    <row r="81" spans="2:2" x14ac:dyDescent="0.2">
      <c r="B81" s="1572"/>
    </row>
    <row r="82" spans="2:2" x14ac:dyDescent="0.2">
      <c r="B82" s="1572"/>
    </row>
    <row r="83" spans="2:2" x14ac:dyDescent="0.2">
      <c r="B83" s="1572"/>
    </row>
    <row r="84" spans="2:2" x14ac:dyDescent="0.2">
      <c r="B84" s="1572"/>
    </row>
    <row r="85" spans="2:2" x14ac:dyDescent="0.2">
      <c r="B85" s="1572"/>
    </row>
    <row r="86" spans="2:2" x14ac:dyDescent="0.2">
      <c r="B86" s="1572"/>
    </row>
    <row r="87" spans="2:2" x14ac:dyDescent="0.2">
      <c r="B87" s="1572"/>
    </row>
    <row r="88" spans="2:2" x14ac:dyDescent="0.2">
      <c r="B88" s="1572"/>
    </row>
    <row r="89" spans="2:2" x14ac:dyDescent="0.2">
      <c r="B89" s="1572"/>
    </row>
    <row r="90" spans="2:2" x14ac:dyDescent="0.2">
      <c r="B90" s="1572"/>
    </row>
    <row r="91" spans="2:2" x14ac:dyDescent="0.2">
      <c r="B91" s="1572"/>
    </row>
    <row r="92" spans="2:2" x14ac:dyDescent="0.2">
      <c r="B92" s="1572"/>
    </row>
  </sheetData>
  <mergeCells count="9">
    <mergeCell ref="A37:N37"/>
    <mergeCell ref="A38:N38"/>
    <mergeCell ref="K2:K3"/>
    <mergeCell ref="A31:N31"/>
    <mergeCell ref="A32:N32"/>
    <mergeCell ref="A33:N33"/>
    <mergeCell ref="A34:N34"/>
    <mergeCell ref="A35:N35"/>
    <mergeCell ref="A36:N36"/>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8">
    <pageSetUpPr fitToPage="1"/>
  </sheetPr>
  <dimension ref="A1:Q77"/>
  <sheetViews>
    <sheetView showGridLines="0" zoomScaleNormal="100" zoomScaleSheetLayoutView="9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7.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customWidth="1"/>
    <col min="11" max="11" width="13.7109375" style="59" customWidth="1"/>
    <col min="12" max="12" width="3.140625" style="60"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
      <c r="L4" s="6"/>
      <c r="M4" s="11"/>
      <c r="N4" s="6"/>
    </row>
    <row r="5" spans="1:16" s="4" customFormat="1" ht="15.75" x14ac:dyDescent="0.2">
      <c r="A5" s="1" t="s">
        <v>183</v>
      </c>
      <c r="B5" s="12" t="s">
        <v>2115</v>
      </c>
      <c r="C5" s="12" t="s">
        <v>55</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c r="E10" s="87"/>
      <c r="I10" s="87"/>
      <c r="K10" s="87"/>
    </row>
    <row r="11" spans="1:16" s="37" customFormat="1" x14ac:dyDescent="0.2">
      <c r="A11" s="35" t="s">
        <v>1968</v>
      </c>
      <c r="B11" s="36"/>
      <c r="C11" s="87"/>
      <c r="D11" s="87"/>
      <c r="E11" s="87"/>
      <c r="I11" s="87"/>
      <c r="K11" s="87"/>
    </row>
    <row r="12" spans="1:16" s="40" customFormat="1" x14ac:dyDescent="0.2">
      <c r="A12" s="38" t="s">
        <v>2116</v>
      </c>
      <c r="B12" s="39"/>
      <c r="C12" s="112">
        <v>16101</v>
      </c>
      <c r="D12" s="63"/>
      <c r="E12" s="112">
        <v>17372</v>
      </c>
      <c r="G12" s="76">
        <v>18187</v>
      </c>
      <c r="I12" s="112">
        <v>17759</v>
      </c>
      <c r="K12" s="112">
        <v>17832</v>
      </c>
      <c r="M12" s="78"/>
    </row>
    <row r="13" spans="1:16" s="40" customFormat="1" x14ac:dyDescent="0.2">
      <c r="A13" s="38" t="s">
        <v>1970</v>
      </c>
      <c r="B13" s="39"/>
      <c r="C13" s="76">
        <v>14007</v>
      </c>
      <c r="D13" s="63"/>
      <c r="E13" s="76">
        <v>15328</v>
      </c>
      <c r="G13" s="76">
        <v>15019</v>
      </c>
      <c r="I13" s="76">
        <v>15761</v>
      </c>
      <c r="K13" s="76">
        <v>15834</v>
      </c>
      <c r="M13" s="78"/>
    </row>
    <row r="14" spans="1:16" s="40" customFormat="1" x14ac:dyDescent="0.2">
      <c r="A14" s="41" t="s">
        <v>1971</v>
      </c>
      <c r="B14" s="39"/>
      <c r="C14" s="76">
        <v>13115</v>
      </c>
      <c r="D14" s="63"/>
      <c r="E14" s="76">
        <v>14345</v>
      </c>
      <c r="G14" s="76">
        <v>14038</v>
      </c>
      <c r="I14" s="76">
        <v>14504</v>
      </c>
      <c r="K14" s="76">
        <v>14504</v>
      </c>
      <c r="M14" s="78"/>
    </row>
    <row r="15" spans="1:16" s="40" customFormat="1" x14ac:dyDescent="0.2">
      <c r="A15" s="41" t="s">
        <v>1972</v>
      </c>
      <c r="B15" s="39"/>
      <c r="C15" s="76">
        <v>12085</v>
      </c>
      <c r="D15" s="63"/>
      <c r="E15" s="76">
        <v>13365</v>
      </c>
      <c r="G15" s="76">
        <v>12841</v>
      </c>
      <c r="I15" s="76">
        <v>13652</v>
      </c>
      <c r="K15" s="76">
        <v>13652</v>
      </c>
      <c r="M15" s="78"/>
    </row>
    <row r="16" spans="1:16" s="40" customFormat="1" x14ac:dyDescent="0.2">
      <c r="A16" s="90" t="s">
        <v>1973</v>
      </c>
      <c r="B16" s="39"/>
      <c r="C16" s="112">
        <v>11557</v>
      </c>
      <c r="D16" s="63"/>
      <c r="E16" s="112">
        <v>12731</v>
      </c>
      <c r="G16" s="76">
        <v>12188</v>
      </c>
      <c r="I16" s="112">
        <v>13187</v>
      </c>
      <c r="K16" s="112">
        <v>13187</v>
      </c>
      <c r="M16" s="78"/>
    </row>
    <row r="17" spans="1:13" s="40" customFormat="1" x14ac:dyDescent="0.2">
      <c r="A17" s="90" t="s">
        <v>1974</v>
      </c>
      <c r="B17" s="39"/>
      <c r="C17" s="112">
        <v>11557</v>
      </c>
      <c r="D17" s="63"/>
      <c r="E17" s="112">
        <v>12731</v>
      </c>
      <c r="G17" s="76">
        <v>12188</v>
      </c>
      <c r="I17" s="112">
        <v>13187</v>
      </c>
      <c r="K17" s="112">
        <v>13187</v>
      </c>
      <c r="M17" s="78"/>
    </row>
    <row r="18" spans="1:13" s="40" customFormat="1" x14ac:dyDescent="0.2">
      <c r="A18" s="94" t="s">
        <v>1975</v>
      </c>
      <c r="B18" s="117"/>
      <c r="C18" s="112">
        <v>1558</v>
      </c>
      <c r="D18" s="63"/>
      <c r="E18" s="112">
        <v>1614</v>
      </c>
      <c r="G18" s="76">
        <v>1850</v>
      </c>
      <c r="I18" s="112">
        <v>1317</v>
      </c>
      <c r="K18" s="112">
        <v>1317</v>
      </c>
      <c r="M18" s="78"/>
    </row>
    <row r="19" spans="1:13" s="40" customFormat="1" x14ac:dyDescent="0.2">
      <c r="A19" s="94" t="s">
        <v>1976</v>
      </c>
      <c r="B19" s="117"/>
      <c r="C19" s="112">
        <v>528</v>
      </c>
      <c r="D19" s="63"/>
      <c r="E19" s="112">
        <v>634</v>
      </c>
      <c r="G19" s="76">
        <v>653</v>
      </c>
      <c r="I19" s="112">
        <v>465</v>
      </c>
      <c r="K19" s="112">
        <v>465</v>
      </c>
      <c r="M19" s="78"/>
    </row>
    <row r="20" spans="1:13" s="40" customFormat="1" x14ac:dyDescent="0.2">
      <c r="A20" s="124" t="s">
        <v>2117</v>
      </c>
      <c r="B20" s="117"/>
      <c r="C20" s="112">
        <v>2078</v>
      </c>
      <c r="D20" s="63"/>
      <c r="E20" s="112">
        <v>2047</v>
      </c>
      <c r="G20" s="76">
        <v>3100</v>
      </c>
      <c r="I20" s="112">
        <v>2205</v>
      </c>
      <c r="K20" s="112">
        <v>2205</v>
      </c>
      <c r="M20" s="78"/>
    </row>
    <row r="21" spans="1:13" s="40" customFormat="1" x14ac:dyDescent="0.2">
      <c r="A21" s="124" t="s">
        <v>1978</v>
      </c>
      <c r="B21" s="117"/>
      <c r="C21" s="112">
        <v>1014</v>
      </c>
      <c r="D21" s="63"/>
      <c r="E21" s="112">
        <v>983</v>
      </c>
      <c r="G21" s="76">
        <v>1129</v>
      </c>
      <c r="I21" s="112">
        <v>1059</v>
      </c>
      <c r="K21" s="112">
        <v>1059</v>
      </c>
      <c r="M21" s="78"/>
    </row>
    <row r="22" spans="1:13" s="40" customFormat="1" x14ac:dyDescent="0.2">
      <c r="A22" s="41" t="s">
        <v>2118</v>
      </c>
      <c r="B22" s="39"/>
      <c r="C22" s="112">
        <v>261</v>
      </c>
      <c r="D22" s="63"/>
      <c r="E22" s="112">
        <v>304</v>
      </c>
      <c r="G22" s="76">
        <v>345</v>
      </c>
      <c r="I22" s="112">
        <v>338</v>
      </c>
      <c r="K22" s="112">
        <v>384</v>
      </c>
      <c r="M22" s="78"/>
    </row>
    <row r="23" spans="1:13" s="40" customFormat="1" x14ac:dyDescent="0.2">
      <c r="A23" s="41" t="s">
        <v>2119</v>
      </c>
      <c r="B23" s="39"/>
      <c r="C23" s="112">
        <v>261</v>
      </c>
      <c r="D23" s="63"/>
      <c r="E23" s="112">
        <v>304</v>
      </c>
      <c r="G23" s="76">
        <v>345</v>
      </c>
      <c r="I23" s="112">
        <v>338</v>
      </c>
      <c r="K23" s="112">
        <v>384</v>
      </c>
      <c r="M23" s="78"/>
    </row>
    <row r="24" spans="1:13" s="118" customFormat="1" x14ac:dyDescent="0.2">
      <c r="A24" s="41" t="s">
        <v>2120</v>
      </c>
      <c r="B24" s="117"/>
      <c r="C24" s="112">
        <v>647</v>
      </c>
      <c r="D24" s="111"/>
      <c r="E24" s="112">
        <v>676</v>
      </c>
      <c r="G24" s="112">
        <v>704</v>
      </c>
      <c r="I24" s="112">
        <v>712</v>
      </c>
      <c r="K24" s="112">
        <v>739</v>
      </c>
      <c r="M24" s="159"/>
    </row>
    <row r="25" spans="1:13" s="118" customFormat="1" x14ac:dyDescent="0.2">
      <c r="A25" s="41" t="s">
        <v>2121</v>
      </c>
      <c r="B25" s="117"/>
      <c r="C25" s="112">
        <v>647</v>
      </c>
      <c r="D25" s="111"/>
      <c r="E25" s="112">
        <v>676</v>
      </c>
      <c r="G25" s="112">
        <v>704</v>
      </c>
      <c r="I25" s="112">
        <v>712</v>
      </c>
      <c r="K25" s="112">
        <v>739</v>
      </c>
      <c r="M25" s="159"/>
    </row>
    <row r="26" spans="1:13" s="40" customFormat="1" x14ac:dyDescent="0.2">
      <c r="A26" s="38" t="s">
        <v>1981</v>
      </c>
      <c r="B26" s="39"/>
      <c r="C26" s="112">
        <v>168</v>
      </c>
      <c r="D26" s="63"/>
      <c r="E26" s="112">
        <v>168</v>
      </c>
      <c r="G26" s="76">
        <v>168</v>
      </c>
      <c r="I26" s="112">
        <v>168</v>
      </c>
      <c r="K26" s="112">
        <v>168</v>
      </c>
      <c r="M26" s="76"/>
    </row>
    <row r="27" spans="1:13" s="40" customFormat="1" x14ac:dyDescent="0.2">
      <c r="A27" s="38" t="s">
        <v>1982</v>
      </c>
      <c r="B27" s="39"/>
      <c r="C27" s="112">
        <v>2310</v>
      </c>
      <c r="D27" s="63"/>
      <c r="E27" s="112">
        <v>2310</v>
      </c>
      <c r="G27" s="76">
        <v>2310</v>
      </c>
      <c r="I27" s="112">
        <v>2268</v>
      </c>
      <c r="K27" s="112">
        <v>2268</v>
      </c>
      <c r="M27" s="78"/>
    </row>
    <row r="28" spans="1:13" s="40" customFormat="1" x14ac:dyDescent="0.2">
      <c r="A28" s="38" t="s">
        <v>1983</v>
      </c>
      <c r="B28" s="39"/>
      <c r="C28" s="111"/>
      <c r="D28" s="63"/>
      <c r="E28" s="111"/>
      <c r="G28" s="63"/>
      <c r="I28" s="111"/>
      <c r="K28" s="111"/>
    </row>
    <row r="29" spans="1:13" s="40" customFormat="1" x14ac:dyDescent="0.2">
      <c r="A29" s="41" t="s">
        <v>1984</v>
      </c>
      <c r="B29" s="39"/>
      <c r="C29" s="112">
        <v>2580</v>
      </c>
      <c r="D29" s="63"/>
      <c r="E29" s="112">
        <v>3018</v>
      </c>
      <c r="G29" s="76">
        <v>2700</v>
      </c>
      <c r="I29" s="112">
        <v>3025</v>
      </c>
      <c r="K29" s="112">
        <v>3025</v>
      </c>
      <c r="M29" s="78"/>
    </row>
    <row r="30" spans="1:13" s="40" customFormat="1" x14ac:dyDescent="0.2">
      <c r="A30" s="41" t="s">
        <v>1985</v>
      </c>
      <c r="B30" s="39"/>
      <c r="C30" s="112">
        <v>499</v>
      </c>
      <c r="D30" s="63"/>
      <c r="E30" s="112">
        <v>560</v>
      </c>
      <c r="G30" s="76">
        <v>500</v>
      </c>
      <c r="I30" s="112">
        <v>560</v>
      </c>
      <c r="K30" s="112">
        <v>560</v>
      </c>
      <c r="M30" s="78"/>
    </row>
    <row r="31" spans="1:13" s="40" customFormat="1" x14ac:dyDescent="0.2">
      <c r="A31" s="41" t="s">
        <v>2122</v>
      </c>
      <c r="B31" s="39"/>
      <c r="C31" s="112">
        <v>35</v>
      </c>
      <c r="D31" s="63"/>
      <c r="E31" s="112">
        <v>40</v>
      </c>
      <c r="G31" s="76">
        <v>35</v>
      </c>
      <c r="I31" s="112">
        <v>40</v>
      </c>
      <c r="K31" s="112">
        <v>40</v>
      </c>
      <c r="M31" s="78"/>
    </row>
    <row r="32" spans="1:13" s="40" customFormat="1" x14ac:dyDescent="0.2">
      <c r="A32" s="41" t="s">
        <v>2123</v>
      </c>
      <c r="B32" s="39"/>
      <c r="C32" s="112" t="s">
        <v>2124</v>
      </c>
      <c r="D32" s="63"/>
      <c r="E32" s="112" t="s">
        <v>2125</v>
      </c>
      <c r="G32" s="76" t="s">
        <v>2126</v>
      </c>
      <c r="I32" s="112">
        <v>220</v>
      </c>
      <c r="K32" s="112">
        <v>220</v>
      </c>
      <c r="M32" s="78"/>
    </row>
    <row r="33" spans="1:13" s="40" customFormat="1" x14ac:dyDescent="0.2">
      <c r="A33" s="38" t="s">
        <v>2092</v>
      </c>
      <c r="B33" s="39"/>
      <c r="C33" s="1181" t="s">
        <v>2048</v>
      </c>
      <c r="D33" s="63"/>
      <c r="E33" s="1181" t="s">
        <v>2048</v>
      </c>
      <c r="G33" s="1077" t="s">
        <v>2048</v>
      </c>
      <c r="I33" s="1181" t="s">
        <v>2048</v>
      </c>
      <c r="K33" s="1181" t="s">
        <v>2048</v>
      </c>
      <c r="M33" s="1077"/>
    </row>
    <row r="34" spans="1:13" s="40" customFormat="1" x14ac:dyDescent="0.2">
      <c r="A34" s="38" t="s">
        <v>2127</v>
      </c>
      <c r="B34" s="39"/>
      <c r="C34" s="111"/>
      <c r="D34" s="63"/>
      <c r="E34" s="111"/>
      <c r="G34" s="63"/>
      <c r="I34" s="111"/>
      <c r="K34" s="111"/>
    </row>
    <row r="35" spans="1:13" s="40" customFormat="1" x14ac:dyDescent="0.2">
      <c r="A35" s="41" t="s">
        <v>2084</v>
      </c>
      <c r="B35" s="39"/>
      <c r="C35" s="112">
        <v>4971</v>
      </c>
      <c r="D35" s="63"/>
      <c r="E35" s="112">
        <v>5189</v>
      </c>
      <c r="G35" s="76">
        <v>6600</v>
      </c>
      <c r="I35" s="112">
        <v>5444</v>
      </c>
      <c r="K35" s="112">
        <v>5444</v>
      </c>
      <c r="M35" s="78"/>
    </row>
    <row r="36" spans="1:13" s="40" customFormat="1" x14ac:dyDescent="0.2">
      <c r="A36" s="41" t="s">
        <v>2128</v>
      </c>
      <c r="B36" s="39"/>
      <c r="C36" s="112">
        <v>772</v>
      </c>
      <c r="D36" s="63"/>
      <c r="E36" s="112">
        <v>768</v>
      </c>
      <c r="G36" s="76">
        <v>809</v>
      </c>
      <c r="I36" s="112">
        <v>795</v>
      </c>
      <c r="K36" s="112">
        <v>795</v>
      </c>
      <c r="M36" s="78"/>
    </row>
    <row r="37" spans="1:13" s="40" customFormat="1" x14ac:dyDescent="0.2">
      <c r="A37" s="90" t="s">
        <v>2129</v>
      </c>
      <c r="B37" s="39"/>
      <c r="C37" s="112">
        <v>3557</v>
      </c>
      <c r="D37" s="63"/>
      <c r="E37" s="112">
        <v>3733</v>
      </c>
      <c r="G37" s="76">
        <v>4200</v>
      </c>
      <c r="I37" s="112">
        <v>4140</v>
      </c>
      <c r="K37" s="112">
        <v>4140</v>
      </c>
      <c r="M37" s="78"/>
    </row>
    <row r="38" spans="1:13" s="40" customFormat="1" x14ac:dyDescent="0.2">
      <c r="A38" s="90" t="s">
        <v>2130</v>
      </c>
      <c r="B38" s="39"/>
      <c r="C38" s="112">
        <v>486</v>
      </c>
      <c r="D38" s="63"/>
      <c r="E38" s="112">
        <v>485</v>
      </c>
      <c r="G38" s="76">
        <v>479</v>
      </c>
      <c r="I38" s="112">
        <v>548</v>
      </c>
      <c r="K38" s="112">
        <v>548</v>
      </c>
      <c r="M38" s="78"/>
    </row>
    <row r="39" spans="1:13" s="40" customFormat="1" x14ac:dyDescent="0.2">
      <c r="A39" s="90" t="s">
        <v>2131</v>
      </c>
      <c r="B39" s="39"/>
      <c r="C39" s="112">
        <v>1414</v>
      </c>
      <c r="D39" s="63"/>
      <c r="E39" s="112">
        <v>1456</v>
      </c>
      <c r="G39" s="76">
        <v>2400</v>
      </c>
      <c r="I39" s="112">
        <v>1304</v>
      </c>
      <c r="K39" s="112">
        <v>1304</v>
      </c>
      <c r="M39" s="78"/>
    </row>
    <row r="40" spans="1:13" s="40" customFormat="1" x14ac:dyDescent="0.2">
      <c r="A40" s="90" t="s">
        <v>2132</v>
      </c>
      <c r="B40" s="39"/>
      <c r="C40" s="112">
        <v>286</v>
      </c>
      <c r="D40" s="63"/>
      <c r="E40" s="112">
        <v>283</v>
      </c>
      <c r="G40" s="76">
        <v>330</v>
      </c>
      <c r="I40" s="112">
        <v>247</v>
      </c>
      <c r="K40" s="112">
        <v>247</v>
      </c>
      <c r="M40" s="78"/>
    </row>
    <row r="41" spans="1:13" s="40" customFormat="1" x14ac:dyDescent="0.2">
      <c r="A41" s="41" t="s">
        <v>2133</v>
      </c>
      <c r="B41" s="39"/>
      <c r="C41" s="97">
        <v>10286250</v>
      </c>
      <c r="D41" s="63"/>
      <c r="E41" s="97">
        <v>10561621</v>
      </c>
      <c r="G41" s="97">
        <v>11493645</v>
      </c>
      <c r="I41" s="97">
        <v>10382410</v>
      </c>
      <c r="K41" s="97">
        <v>10382410</v>
      </c>
      <c r="M41" s="202"/>
    </row>
    <row r="42" spans="1:13" s="40" customFormat="1" ht="25.5" x14ac:dyDescent="0.2">
      <c r="A42" s="39" t="s">
        <v>1993</v>
      </c>
      <c r="B42" s="39"/>
      <c r="C42" s="76">
        <v>887</v>
      </c>
      <c r="D42" s="63"/>
      <c r="E42" s="76">
        <v>833</v>
      </c>
      <c r="G42" s="77"/>
      <c r="I42" s="76">
        <v>881</v>
      </c>
      <c r="K42" s="76"/>
      <c r="M42" s="77"/>
    </row>
    <row r="43" spans="1:13" s="40" customFormat="1" x14ac:dyDescent="0.2">
      <c r="A43" s="41" t="s">
        <v>1994</v>
      </c>
      <c r="B43" s="39"/>
      <c r="C43" s="1182">
        <v>619</v>
      </c>
      <c r="D43" s="63"/>
      <c r="E43" s="1182">
        <v>618</v>
      </c>
      <c r="G43" s="1183"/>
      <c r="I43" s="1182">
        <v>636</v>
      </c>
      <c r="K43" s="1182"/>
      <c r="M43" s="1183"/>
    </row>
    <row r="44" spans="1:13" s="40" customFormat="1" x14ac:dyDescent="0.2">
      <c r="A44" s="41" t="s">
        <v>1998</v>
      </c>
      <c r="B44" s="39"/>
      <c r="C44" s="71" t="s">
        <v>2134</v>
      </c>
      <c r="D44" s="63"/>
      <c r="E44" s="71">
        <v>588</v>
      </c>
      <c r="G44" s="70"/>
      <c r="I44" s="71">
        <v>626</v>
      </c>
      <c r="K44" s="71"/>
      <c r="M44" s="70"/>
    </row>
    <row r="45" spans="1:13" s="40" customFormat="1" x14ac:dyDescent="0.2">
      <c r="A45" s="41" t="s">
        <v>2003</v>
      </c>
      <c r="B45" s="39"/>
      <c r="C45" s="1182">
        <f>C43+C44</f>
        <v>1209</v>
      </c>
      <c r="D45" s="63"/>
      <c r="E45" s="1182">
        <f>E43+E44</f>
        <v>1206</v>
      </c>
      <c r="G45" s="1183"/>
      <c r="I45" s="1182">
        <f>I43+I44</f>
        <v>1262</v>
      </c>
      <c r="K45" s="1182"/>
      <c r="M45" s="1183"/>
    </row>
    <row r="46" spans="1:13" s="40" customFormat="1" x14ac:dyDescent="0.2">
      <c r="A46" s="38" t="s">
        <v>2095</v>
      </c>
      <c r="B46" s="39"/>
      <c r="C46" s="63"/>
      <c r="D46" s="63"/>
      <c r="E46" s="63"/>
      <c r="I46" s="63"/>
      <c r="K46" s="63"/>
    </row>
    <row r="47" spans="1:13" s="40" customFormat="1" x14ac:dyDescent="0.2">
      <c r="A47" s="41" t="s">
        <v>2005</v>
      </c>
      <c r="B47" s="39"/>
      <c r="C47" s="100">
        <v>0.84699999999999998</v>
      </c>
      <c r="D47" s="63"/>
      <c r="E47" s="100">
        <v>0.84699999999999998</v>
      </c>
      <c r="G47" s="101"/>
      <c r="I47" s="100"/>
      <c r="K47" s="100"/>
      <c r="M47" s="101"/>
    </row>
    <row r="48" spans="1:13" s="40" customFormat="1" x14ac:dyDescent="0.2">
      <c r="A48" s="41" t="s">
        <v>2006</v>
      </c>
      <c r="B48" s="39"/>
      <c r="C48" s="100">
        <v>0.68799999999999994</v>
      </c>
      <c r="D48" s="63"/>
      <c r="E48" s="100">
        <v>0.65500000000000003</v>
      </c>
      <c r="G48" s="101"/>
      <c r="I48" s="100"/>
      <c r="K48" s="100"/>
      <c r="M48" s="101"/>
    </row>
    <row r="49" spans="1:13" s="40" customFormat="1" x14ac:dyDescent="0.2">
      <c r="A49" s="38" t="s">
        <v>2007</v>
      </c>
      <c r="B49" s="39"/>
      <c r="C49" s="63"/>
      <c r="D49" s="63"/>
      <c r="E49" s="63"/>
      <c r="I49" s="63"/>
      <c r="K49" s="63"/>
    </row>
    <row r="50" spans="1:13" s="40" customFormat="1" x14ac:dyDescent="0.2">
      <c r="A50" s="41" t="s">
        <v>2057</v>
      </c>
      <c r="B50" s="39"/>
      <c r="C50" s="97">
        <v>28210</v>
      </c>
      <c r="D50" s="63"/>
      <c r="E50" s="97">
        <v>32426</v>
      </c>
      <c r="G50" s="98"/>
      <c r="I50" s="97">
        <v>31829</v>
      </c>
      <c r="K50" s="97"/>
      <c r="M50" s="98"/>
    </row>
    <row r="51" spans="1:13" s="40" customFormat="1" x14ac:dyDescent="0.2">
      <c r="A51" s="41" t="s">
        <v>2009</v>
      </c>
      <c r="B51" s="39"/>
      <c r="C51" s="97">
        <v>9256</v>
      </c>
      <c r="D51" s="63"/>
      <c r="E51" s="97">
        <v>9434</v>
      </c>
      <c r="G51" s="98"/>
      <c r="I51" s="97">
        <v>9660</v>
      </c>
      <c r="K51" s="97"/>
      <c r="M51" s="98"/>
    </row>
    <row r="52" spans="1:13" s="40" customFormat="1" x14ac:dyDescent="0.2">
      <c r="A52" s="41" t="s">
        <v>2010</v>
      </c>
      <c r="B52" s="39"/>
      <c r="C52" s="97">
        <v>17370</v>
      </c>
      <c r="D52" s="63"/>
      <c r="E52" s="97">
        <v>17704</v>
      </c>
      <c r="G52" s="98"/>
      <c r="I52" s="97">
        <v>18128</v>
      </c>
      <c r="K52" s="97"/>
      <c r="M52" s="98"/>
    </row>
    <row r="53" spans="1:13" s="40" customFormat="1" x14ac:dyDescent="0.2">
      <c r="A53" s="41" t="s">
        <v>2011</v>
      </c>
      <c r="B53" s="39"/>
      <c r="C53" s="97">
        <v>3608</v>
      </c>
      <c r="D53" s="63"/>
      <c r="E53" s="97">
        <v>3674</v>
      </c>
      <c r="G53" s="98"/>
      <c r="I53" s="97">
        <v>3762</v>
      </c>
      <c r="K53" s="97"/>
      <c r="M53" s="98"/>
    </row>
    <row r="54" spans="1:13" s="40" customFormat="1" x14ac:dyDescent="0.2">
      <c r="A54" s="90"/>
      <c r="B54" s="39"/>
      <c r="C54" s="63"/>
      <c r="D54" s="63"/>
      <c r="E54" s="63"/>
      <c r="I54" s="63"/>
      <c r="K54" s="63"/>
    </row>
    <row r="55" spans="1:13" s="37" customFormat="1" x14ac:dyDescent="0.2">
      <c r="A55" s="35" t="s">
        <v>517</v>
      </c>
      <c r="B55" s="36"/>
      <c r="C55" s="87"/>
      <c r="D55" s="87"/>
      <c r="E55" s="87"/>
      <c r="I55" s="87"/>
      <c r="K55" s="87"/>
    </row>
    <row r="56" spans="1:13" s="37" customFormat="1" x14ac:dyDescent="0.2">
      <c r="A56" s="35" t="s">
        <v>1968</v>
      </c>
      <c r="B56" s="36"/>
      <c r="C56" s="87"/>
      <c r="D56" s="87"/>
      <c r="E56" s="87"/>
      <c r="I56" s="87"/>
      <c r="K56" s="87"/>
    </row>
    <row r="57" spans="1:13" s="40" customFormat="1" x14ac:dyDescent="0.2">
      <c r="A57" s="38" t="s">
        <v>2097</v>
      </c>
      <c r="B57" s="39"/>
      <c r="C57" s="63"/>
      <c r="D57" s="63"/>
      <c r="E57" s="63"/>
      <c r="I57" s="63"/>
      <c r="K57" s="63"/>
    </row>
    <row r="58" spans="1:13" s="40" customFormat="1" x14ac:dyDescent="0.2">
      <c r="A58" s="41" t="s">
        <v>1298</v>
      </c>
      <c r="B58" s="39"/>
      <c r="C58" s="126">
        <v>157552547</v>
      </c>
      <c r="D58" s="63"/>
      <c r="E58" s="126">
        <v>168173231</v>
      </c>
      <c r="G58" s="98"/>
      <c r="I58" s="126">
        <v>177000000</v>
      </c>
      <c r="K58" s="126"/>
      <c r="M58" s="202"/>
    </row>
    <row r="59" spans="1:13" s="40" customFormat="1" x14ac:dyDescent="0.2">
      <c r="A59" s="41" t="s">
        <v>2135</v>
      </c>
      <c r="B59" s="39"/>
      <c r="C59" s="126">
        <v>9735746</v>
      </c>
      <c r="D59" s="63"/>
      <c r="E59" s="126">
        <v>13512231</v>
      </c>
      <c r="G59" s="98"/>
      <c r="I59" s="126">
        <v>14250000</v>
      </c>
      <c r="K59" s="126"/>
      <c r="M59" s="202"/>
    </row>
    <row r="60" spans="1:13" s="40" customFormat="1" x14ac:dyDescent="0.2">
      <c r="A60" s="41" t="s">
        <v>2136</v>
      </c>
      <c r="B60" s="39"/>
      <c r="C60" s="126">
        <v>8516596</v>
      </c>
      <c r="D60" s="63"/>
      <c r="E60" s="126">
        <v>8867252</v>
      </c>
      <c r="G60" s="98"/>
      <c r="I60" s="126">
        <v>9000000</v>
      </c>
      <c r="K60" s="126"/>
      <c r="M60" s="202"/>
    </row>
    <row r="61" spans="1:13" s="40" customFormat="1" x14ac:dyDescent="0.2">
      <c r="A61" s="41" t="s">
        <v>2020</v>
      </c>
      <c r="B61" s="39"/>
      <c r="C61" s="126">
        <v>40651917</v>
      </c>
      <c r="D61" s="63"/>
      <c r="E61" s="126">
        <v>46767127</v>
      </c>
      <c r="G61" s="98"/>
      <c r="I61" s="126">
        <v>49000000</v>
      </c>
      <c r="K61" s="126"/>
      <c r="M61" s="202"/>
    </row>
    <row r="62" spans="1:13" s="40" customFormat="1" x14ac:dyDescent="0.2">
      <c r="A62" s="41" t="s">
        <v>2021</v>
      </c>
      <c r="B62" s="39"/>
      <c r="C62" s="126">
        <v>27714816</v>
      </c>
      <c r="D62" s="63"/>
      <c r="E62" s="126">
        <v>29751197</v>
      </c>
      <c r="G62" s="98"/>
      <c r="I62" s="126">
        <v>31500000</v>
      </c>
      <c r="K62" s="126"/>
      <c r="M62" s="202"/>
    </row>
    <row r="63" spans="1:13" s="40" customFormat="1" x14ac:dyDescent="0.2">
      <c r="A63" s="41" t="s">
        <v>2022</v>
      </c>
      <c r="B63" s="39"/>
      <c r="C63" s="126">
        <v>68841123</v>
      </c>
      <c r="D63" s="63"/>
      <c r="E63" s="126">
        <v>71864282</v>
      </c>
      <c r="G63" s="98"/>
      <c r="I63" s="126">
        <v>73000000</v>
      </c>
      <c r="K63" s="126"/>
      <c r="M63" s="202"/>
    </row>
    <row r="64" spans="1:13" s="40" customFormat="1" x14ac:dyDescent="0.2">
      <c r="A64" s="41" t="s">
        <v>2023</v>
      </c>
      <c r="B64" s="39"/>
      <c r="C64" s="126">
        <v>32965100</v>
      </c>
      <c r="D64" s="63"/>
      <c r="E64" s="126">
        <v>33932879</v>
      </c>
      <c r="G64" s="98"/>
      <c r="I64" s="126">
        <v>35000000</v>
      </c>
      <c r="K64" s="126"/>
      <c r="M64" s="202"/>
    </row>
    <row r="65" spans="1:17" s="40" customFormat="1" x14ac:dyDescent="0.2">
      <c r="A65" s="90"/>
      <c r="B65" s="39"/>
      <c r="C65" s="63"/>
      <c r="D65" s="63"/>
      <c r="E65" s="63"/>
      <c r="I65" s="63"/>
      <c r="K65" s="63"/>
    </row>
    <row r="66" spans="1:17" s="37" customFormat="1" x14ac:dyDescent="0.2">
      <c r="A66" s="35" t="s">
        <v>194</v>
      </c>
      <c r="B66" s="36"/>
      <c r="C66" s="87"/>
      <c r="D66" s="87"/>
      <c r="E66" s="87"/>
      <c r="I66" s="87"/>
      <c r="K66" s="87"/>
    </row>
    <row r="67" spans="1:17" s="37" customFormat="1" x14ac:dyDescent="0.2">
      <c r="A67" s="35" t="s">
        <v>195</v>
      </c>
      <c r="B67" s="36"/>
      <c r="C67" s="87"/>
      <c r="D67" s="87"/>
      <c r="E67" s="87"/>
      <c r="I67" s="87"/>
      <c r="K67" s="87"/>
    </row>
    <row r="68" spans="1:17" s="40" customFormat="1" ht="20.100000000000001" customHeight="1" x14ac:dyDescent="0.2">
      <c r="A68" s="41" t="s">
        <v>2137</v>
      </c>
      <c r="B68" s="39"/>
      <c r="C68" s="76">
        <v>1754</v>
      </c>
      <c r="D68" s="76"/>
      <c r="E68" s="76">
        <v>1754</v>
      </c>
      <c r="F68" s="77"/>
      <c r="G68" s="77">
        <v>1754</v>
      </c>
      <c r="I68" s="76">
        <v>1854</v>
      </c>
      <c r="K68" s="76">
        <v>1754</v>
      </c>
      <c r="M68" s="76"/>
    </row>
    <row r="69" spans="1:17" s="48" customFormat="1" ht="30" customHeight="1" x14ac:dyDescent="0.2">
      <c r="A69" s="46"/>
      <c r="B69" s="47"/>
    </row>
    <row r="70" spans="1:17" s="48" customFormat="1" x14ac:dyDescent="0.2">
      <c r="A70" s="49" t="s">
        <v>200</v>
      </c>
      <c r="B70" s="50"/>
      <c r="C70" s="51"/>
      <c r="D70" s="52"/>
      <c r="E70" s="53"/>
      <c r="F70" s="52"/>
      <c r="G70" s="53"/>
      <c r="H70" s="52"/>
      <c r="I70" s="53"/>
      <c r="J70" s="52"/>
      <c r="K70" s="53"/>
      <c r="L70" s="52"/>
      <c r="M70" s="51"/>
      <c r="N70" s="52"/>
    </row>
    <row r="71" spans="1:17" ht="27.95" customHeight="1" x14ac:dyDescent="0.2">
      <c r="A71" s="1738" t="s">
        <v>2138</v>
      </c>
      <c r="B71" s="1736"/>
      <c r="C71" s="1737"/>
      <c r="D71" s="1736"/>
      <c r="E71" s="1737"/>
      <c r="F71" s="1736"/>
      <c r="G71" s="1737"/>
      <c r="H71" s="1736"/>
      <c r="I71" s="1737"/>
      <c r="J71" s="1736"/>
      <c r="K71" s="1737"/>
      <c r="L71" s="1736"/>
      <c r="M71" s="1737"/>
      <c r="N71" s="1736"/>
      <c r="O71" s="54"/>
      <c r="P71" s="54"/>
      <c r="Q71" s="951"/>
    </row>
    <row r="72" spans="1:17" ht="15" customHeight="1" x14ac:dyDescent="0.2">
      <c r="A72" s="1738" t="s">
        <v>2139</v>
      </c>
      <c r="B72" s="1736"/>
      <c r="C72" s="1737"/>
      <c r="D72" s="1736"/>
      <c r="E72" s="1737"/>
      <c r="F72" s="1736"/>
      <c r="G72" s="1737"/>
      <c r="H72" s="1736"/>
      <c r="I72" s="1737"/>
      <c r="J72" s="1736"/>
      <c r="K72" s="1737"/>
      <c r="L72" s="1736"/>
      <c r="M72" s="1737"/>
      <c r="N72" s="1736"/>
      <c r="O72" s="54"/>
      <c r="P72" s="54"/>
      <c r="Q72" s="951"/>
    </row>
    <row r="73" spans="1:17" s="372" customFormat="1" ht="15" customHeight="1" x14ac:dyDescent="0.2">
      <c r="A73" s="1738" t="s">
        <v>2140</v>
      </c>
      <c r="B73" s="1748"/>
      <c r="C73" s="1749"/>
      <c r="D73" s="1748"/>
      <c r="E73" s="1749"/>
      <c r="F73" s="1748"/>
      <c r="G73" s="1749"/>
      <c r="H73" s="1748"/>
      <c r="I73" s="1749"/>
      <c r="J73" s="1748"/>
      <c r="K73" s="1749"/>
      <c r="L73" s="1748"/>
      <c r="M73" s="1749"/>
      <c r="N73" s="1748"/>
      <c r="O73" s="1184"/>
      <c r="P73" s="1184"/>
    </row>
    <row r="74" spans="1:17" ht="15" customHeight="1" x14ac:dyDescent="0.2">
      <c r="A74" s="1738" t="s">
        <v>2064</v>
      </c>
      <c r="B74" s="1738"/>
      <c r="C74" s="1738"/>
      <c r="D74" s="1738"/>
      <c r="E74" s="1738"/>
      <c r="F74" s="1738"/>
      <c r="G74" s="1738"/>
      <c r="H74" s="1738"/>
      <c r="I74" s="1738"/>
      <c r="J74" s="1738"/>
      <c r="K74" s="1738"/>
      <c r="L74" s="137"/>
      <c r="M74" s="138"/>
      <c r="N74" s="137"/>
      <c r="O74" s="54"/>
      <c r="P74" s="54"/>
    </row>
    <row r="75" spans="1:17" ht="15" customHeight="1" x14ac:dyDescent="0.2">
      <c r="A75" s="1738" t="s">
        <v>2141</v>
      </c>
      <c r="B75" s="1738"/>
      <c r="C75" s="1738"/>
      <c r="D75" s="1738"/>
      <c r="E75" s="1738"/>
      <c r="F75" s="1738"/>
      <c r="G75" s="1738"/>
      <c r="H75" s="1738"/>
      <c r="I75" s="1738"/>
      <c r="J75" s="1738"/>
      <c r="K75" s="1738"/>
      <c r="L75" s="137"/>
      <c r="M75" s="138"/>
      <c r="N75" s="137"/>
      <c r="O75" s="54"/>
      <c r="P75" s="54"/>
    </row>
    <row r="76" spans="1:17" ht="32.25" customHeight="1" x14ac:dyDescent="0.2">
      <c r="A76" s="1738"/>
      <c r="B76" s="1738"/>
      <c r="C76" s="1738"/>
      <c r="D76" s="1738"/>
      <c r="E76" s="1738"/>
      <c r="F76" s="1738"/>
      <c r="G76" s="1738"/>
      <c r="H76" s="1738"/>
      <c r="I76" s="1738"/>
      <c r="J76" s="1738"/>
      <c r="K76" s="1738"/>
      <c r="L76" s="137"/>
      <c r="M76" s="138"/>
      <c r="N76" s="137"/>
      <c r="O76" s="54"/>
      <c r="P76" s="54"/>
    </row>
    <row r="77" spans="1:17" ht="15" customHeight="1" x14ac:dyDescent="0.2">
      <c r="M77" s="138"/>
      <c r="N77" s="137"/>
      <c r="O77" s="54"/>
      <c r="P77" s="54"/>
    </row>
  </sheetData>
  <mergeCells count="7">
    <mergeCell ref="A75:K75"/>
    <mergeCell ref="A76:K76"/>
    <mergeCell ref="K2:K3"/>
    <mergeCell ref="A71:N71"/>
    <mergeCell ref="A72:N72"/>
    <mergeCell ref="A73:N73"/>
    <mergeCell ref="A74:K74"/>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0.35" bottom="0.35" header="0" footer="0"/>
  <pageSetup scale="75" fitToHeight="0" pageOrder="overThenDown" orientation="portrait" blackAndWhite="1"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9">
    <pageSetUpPr fitToPage="1"/>
  </sheetPr>
  <dimension ref="A1:Q141"/>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42578125" style="61" customWidth="1"/>
    <col min="5" max="5" width="13.7109375" style="59" customWidth="1"/>
    <col min="6" max="6" width="2.85546875" style="60" customWidth="1"/>
    <col min="7" max="7" width="13.7109375" style="59" hidden="1" customWidth="1"/>
    <col min="8" max="8" width="3.140625" style="60" hidden="1" customWidth="1"/>
    <col min="9" max="9" width="11.7109375" style="59" customWidth="1"/>
    <col min="10" max="10" width="3.28515625" style="60" customWidth="1"/>
    <col min="11" max="11" width="13.7109375" style="59" customWidth="1"/>
    <col min="12" max="12" width="3.28515625" style="60" customWidth="1"/>
    <col min="13" max="13" width="13.7109375" style="59" hidden="1" customWidth="1"/>
    <col min="14" max="14" width="3.28515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
      <c r="L4" s="6"/>
      <c r="M4" s="11"/>
      <c r="N4" s="6"/>
    </row>
    <row r="5" spans="1:16" s="4" customFormat="1" ht="15.75" x14ac:dyDescent="0.2">
      <c r="A5" s="1" t="s">
        <v>183</v>
      </c>
      <c r="B5" s="12" t="s">
        <v>2142</v>
      </c>
      <c r="C5" s="12" t="s">
        <v>56</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111"/>
      <c r="D10" s="63"/>
      <c r="E10" s="111"/>
      <c r="F10" s="87"/>
      <c r="G10" s="87"/>
      <c r="H10" s="87"/>
      <c r="I10" s="111"/>
      <c r="J10" s="87"/>
      <c r="K10" s="111"/>
      <c r="L10" s="87"/>
    </row>
    <row r="11" spans="1:16" s="37" customFormat="1" x14ac:dyDescent="0.2">
      <c r="A11" s="35" t="s">
        <v>1968</v>
      </c>
      <c r="B11" s="36"/>
      <c r="C11" s="111"/>
      <c r="D11" s="63"/>
      <c r="E11" s="111"/>
      <c r="F11" s="87"/>
      <c r="G11" s="87"/>
      <c r="H11" s="87"/>
      <c r="I11" s="111"/>
      <c r="J11" s="87"/>
      <c r="K11" s="111"/>
      <c r="L11" s="87"/>
    </row>
    <row r="12" spans="1:16" s="40" customFormat="1" x14ac:dyDescent="0.2">
      <c r="A12" s="38" t="s">
        <v>1969</v>
      </c>
      <c r="B12" s="39"/>
      <c r="C12" s="112">
        <f>C14+C20+C26</f>
        <v>8258</v>
      </c>
      <c r="D12" s="63"/>
      <c r="E12" s="112">
        <v>8227</v>
      </c>
      <c r="F12" s="63"/>
      <c r="G12" s="1185">
        <f>G14+G20+G26</f>
        <v>8293</v>
      </c>
      <c r="H12" s="63"/>
      <c r="I12" s="112">
        <v>8116</v>
      </c>
      <c r="J12" s="63"/>
      <c r="K12" s="112">
        <v>8116</v>
      </c>
      <c r="L12" s="63"/>
      <c r="M12" s="76"/>
    </row>
    <row r="13" spans="1:16" s="40" customFormat="1" x14ac:dyDescent="0.2">
      <c r="A13" s="38" t="s">
        <v>1970</v>
      </c>
      <c r="B13" s="39"/>
      <c r="C13" s="112">
        <f>C15+C21+C27</f>
        <v>5829</v>
      </c>
      <c r="D13" s="63"/>
      <c r="E13" s="112">
        <v>5943</v>
      </c>
      <c r="F13" s="63"/>
      <c r="G13" s="1185">
        <f>G15+G21+G27</f>
        <v>5890</v>
      </c>
      <c r="H13" s="63"/>
      <c r="I13" s="112">
        <v>5888</v>
      </c>
      <c r="J13" s="63"/>
      <c r="K13" s="112">
        <v>5888</v>
      </c>
      <c r="L13" s="63"/>
      <c r="M13" s="76"/>
    </row>
    <row r="14" spans="1:16" s="40" customFormat="1" x14ac:dyDescent="0.2">
      <c r="A14" s="41" t="s">
        <v>1971</v>
      </c>
      <c r="B14" s="39"/>
      <c r="C14" s="112">
        <f>C16+C18</f>
        <v>6327</v>
      </c>
      <c r="D14" s="63"/>
      <c r="E14" s="112">
        <v>6395</v>
      </c>
      <c r="F14" s="63"/>
      <c r="G14" s="1185">
        <f>G16+G18</f>
        <v>6292</v>
      </c>
      <c r="H14" s="63"/>
      <c r="I14" s="112">
        <v>6317</v>
      </c>
      <c r="J14" s="63"/>
      <c r="K14" s="112">
        <v>6317</v>
      </c>
      <c r="L14" s="63"/>
      <c r="M14" s="76"/>
    </row>
    <row r="15" spans="1:16" s="40" customFormat="1" x14ac:dyDescent="0.2">
      <c r="A15" s="41" t="s">
        <v>1972</v>
      </c>
      <c r="B15" s="39"/>
      <c r="C15" s="112">
        <f>C17+C19</f>
        <v>4870</v>
      </c>
      <c r="D15" s="63"/>
      <c r="E15" s="112">
        <v>5064</v>
      </c>
      <c r="F15" s="63"/>
      <c r="G15" s="1185">
        <f>G17+G19</f>
        <v>4911</v>
      </c>
      <c r="H15" s="63"/>
      <c r="I15" s="112">
        <v>5026</v>
      </c>
      <c r="J15" s="63"/>
      <c r="K15" s="112">
        <v>5026</v>
      </c>
      <c r="L15" s="63"/>
      <c r="M15" s="76"/>
    </row>
    <row r="16" spans="1:16" s="40" customFormat="1" x14ac:dyDescent="0.2">
      <c r="A16" s="90" t="s">
        <v>1973</v>
      </c>
      <c r="B16" s="39"/>
      <c r="C16" s="112">
        <v>4719</v>
      </c>
      <c r="D16" s="63"/>
      <c r="E16" s="112">
        <v>4948</v>
      </c>
      <c r="F16" s="63"/>
      <c r="G16" s="76">
        <v>4685</v>
      </c>
      <c r="H16" s="63"/>
      <c r="I16" s="112">
        <v>4970</v>
      </c>
      <c r="J16" s="63"/>
      <c r="K16" s="112">
        <v>4970</v>
      </c>
      <c r="L16" s="63"/>
      <c r="M16" s="76"/>
    </row>
    <row r="17" spans="1:13" s="40" customFormat="1" x14ac:dyDescent="0.2">
      <c r="A17" s="90" t="s">
        <v>1974</v>
      </c>
      <c r="B17" s="39"/>
      <c r="C17" s="112">
        <v>4216</v>
      </c>
      <c r="D17" s="63"/>
      <c r="E17" s="112">
        <v>4471</v>
      </c>
      <c r="F17" s="63"/>
      <c r="G17" s="76">
        <v>4221</v>
      </c>
      <c r="H17" s="63"/>
      <c r="I17" s="112">
        <v>4474</v>
      </c>
      <c r="J17" s="63"/>
      <c r="K17" s="112">
        <v>4474</v>
      </c>
      <c r="L17" s="63"/>
      <c r="M17" s="76"/>
    </row>
    <row r="18" spans="1:13" s="40" customFormat="1" x14ac:dyDescent="0.2">
      <c r="A18" s="90" t="s">
        <v>1975</v>
      </c>
      <c r="B18" s="39"/>
      <c r="C18" s="112">
        <v>1608</v>
      </c>
      <c r="D18" s="63"/>
      <c r="E18" s="112">
        <v>1447</v>
      </c>
      <c r="F18" s="63"/>
      <c r="G18" s="76">
        <v>1607</v>
      </c>
      <c r="H18" s="63"/>
      <c r="I18" s="112">
        <v>1347</v>
      </c>
      <c r="J18" s="63"/>
      <c r="K18" s="112">
        <v>1347</v>
      </c>
      <c r="L18" s="63"/>
      <c r="M18" s="76"/>
    </row>
    <row r="19" spans="1:13" s="40" customFormat="1" x14ac:dyDescent="0.2">
      <c r="A19" s="90" t="s">
        <v>1976</v>
      </c>
      <c r="B19" s="39"/>
      <c r="C19" s="112">
        <v>654</v>
      </c>
      <c r="D19" s="63"/>
      <c r="E19" s="112">
        <v>593</v>
      </c>
      <c r="F19" s="63"/>
      <c r="G19" s="76">
        <v>690</v>
      </c>
      <c r="H19" s="63"/>
      <c r="I19" s="112">
        <v>552</v>
      </c>
      <c r="J19" s="63"/>
      <c r="K19" s="112">
        <v>552</v>
      </c>
      <c r="L19" s="63"/>
      <c r="M19" s="76"/>
    </row>
    <row r="20" spans="1:13" s="40" customFormat="1" x14ac:dyDescent="0.2">
      <c r="A20" s="41" t="s">
        <v>1977</v>
      </c>
      <c r="B20" s="39"/>
      <c r="C20" s="112">
        <f>C22+C24</f>
        <v>1852</v>
      </c>
      <c r="D20" s="63"/>
      <c r="E20" s="112">
        <v>1771</v>
      </c>
      <c r="F20" s="63"/>
      <c r="G20" s="1185">
        <f>G22+G24</f>
        <v>1940</v>
      </c>
      <c r="H20" s="63"/>
      <c r="I20" s="112">
        <v>1724</v>
      </c>
      <c r="J20" s="63"/>
      <c r="K20" s="112">
        <v>1724</v>
      </c>
      <c r="L20" s="63"/>
      <c r="M20" s="76"/>
    </row>
    <row r="21" spans="1:13" s="40" customFormat="1" x14ac:dyDescent="0.2">
      <c r="A21" s="41" t="s">
        <v>1978</v>
      </c>
      <c r="B21" s="39"/>
      <c r="C21" s="112">
        <f>C23+C25</f>
        <v>906</v>
      </c>
      <c r="D21" s="63"/>
      <c r="E21" s="112">
        <v>849</v>
      </c>
      <c r="F21" s="63"/>
      <c r="G21" s="1185">
        <f>G23+G25</f>
        <v>949</v>
      </c>
      <c r="H21" s="63"/>
      <c r="I21" s="112">
        <v>826</v>
      </c>
      <c r="J21" s="63"/>
      <c r="K21" s="112">
        <v>826</v>
      </c>
      <c r="L21" s="63"/>
      <c r="M21" s="76"/>
    </row>
    <row r="22" spans="1:13" s="40" customFormat="1" x14ac:dyDescent="0.2">
      <c r="A22" s="90" t="s">
        <v>1973</v>
      </c>
      <c r="B22" s="39"/>
      <c r="C22" s="112">
        <v>395</v>
      </c>
      <c r="D22" s="63"/>
      <c r="E22" s="112">
        <v>364</v>
      </c>
      <c r="F22" s="63"/>
      <c r="G22" s="76">
        <v>451</v>
      </c>
      <c r="H22" s="63"/>
      <c r="I22" s="112">
        <v>364</v>
      </c>
      <c r="J22" s="63"/>
      <c r="K22" s="112">
        <v>364</v>
      </c>
      <c r="L22" s="63"/>
      <c r="M22" s="333"/>
    </row>
    <row r="23" spans="1:13" s="40" customFormat="1" x14ac:dyDescent="0.2">
      <c r="A23" s="90" t="s">
        <v>1974</v>
      </c>
      <c r="B23" s="39"/>
      <c r="C23" s="112">
        <v>339</v>
      </c>
      <c r="D23" s="63"/>
      <c r="E23" s="112">
        <v>304</v>
      </c>
      <c r="F23" s="63"/>
      <c r="G23" s="76">
        <v>387</v>
      </c>
      <c r="H23" s="63"/>
      <c r="I23" s="112">
        <v>300</v>
      </c>
      <c r="J23" s="63"/>
      <c r="K23" s="112">
        <v>300</v>
      </c>
      <c r="L23" s="63"/>
      <c r="M23" s="76"/>
    </row>
    <row r="24" spans="1:13" s="40" customFormat="1" x14ac:dyDescent="0.2">
      <c r="A24" s="90" t="s">
        <v>1975</v>
      </c>
      <c r="B24" s="39"/>
      <c r="C24" s="112">
        <v>1457</v>
      </c>
      <c r="D24" s="63"/>
      <c r="E24" s="112">
        <v>1407</v>
      </c>
      <c r="F24" s="63"/>
      <c r="G24" s="76">
        <v>1489</v>
      </c>
      <c r="H24" s="63"/>
      <c r="I24" s="112">
        <v>1360</v>
      </c>
      <c r="J24" s="63"/>
      <c r="K24" s="112">
        <v>1360</v>
      </c>
      <c r="L24" s="63"/>
      <c r="M24" s="76"/>
    </row>
    <row r="25" spans="1:13" s="40" customFormat="1" x14ac:dyDescent="0.2">
      <c r="A25" s="90" t="s">
        <v>1976</v>
      </c>
      <c r="B25" s="39"/>
      <c r="C25" s="112">
        <v>567</v>
      </c>
      <c r="D25" s="63"/>
      <c r="E25" s="112">
        <v>545</v>
      </c>
      <c r="F25" s="63"/>
      <c r="G25" s="76">
        <v>562</v>
      </c>
      <c r="H25" s="63"/>
      <c r="I25" s="112">
        <v>526</v>
      </c>
      <c r="J25" s="63"/>
      <c r="K25" s="112">
        <v>526</v>
      </c>
      <c r="L25" s="63"/>
      <c r="M25" s="76"/>
    </row>
    <row r="26" spans="1:13" s="40" customFormat="1" x14ac:dyDescent="0.2">
      <c r="A26" s="41" t="s">
        <v>2143</v>
      </c>
      <c r="B26" s="39"/>
      <c r="C26" s="112">
        <f>C28+C30</f>
        <v>79</v>
      </c>
      <c r="D26" s="63"/>
      <c r="E26" s="112">
        <v>61</v>
      </c>
      <c r="F26" s="63"/>
      <c r="G26" s="1185">
        <f>G28+G30</f>
        <v>61</v>
      </c>
      <c r="H26" s="63"/>
      <c r="I26" s="112">
        <v>75</v>
      </c>
      <c r="J26" s="63"/>
      <c r="K26" s="112">
        <v>75</v>
      </c>
      <c r="L26" s="63"/>
      <c r="M26" s="76"/>
    </row>
    <row r="27" spans="1:13" s="40" customFormat="1" x14ac:dyDescent="0.2">
      <c r="A27" s="41" t="s">
        <v>2144</v>
      </c>
      <c r="B27" s="39"/>
      <c r="C27" s="112">
        <f>C29+C31</f>
        <v>53</v>
      </c>
      <c r="D27" s="63"/>
      <c r="E27" s="112">
        <v>30</v>
      </c>
      <c r="F27" s="63"/>
      <c r="G27" s="1185">
        <f>G29+G31</f>
        <v>30</v>
      </c>
      <c r="H27" s="63"/>
      <c r="I27" s="112">
        <v>36</v>
      </c>
      <c r="J27" s="63"/>
      <c r="K27" s="112">
        <v>36</v>
      </c>
      <c r="L27" s="63"/>
      <c r="M27" s="76"/>
    </row>
    <row r="28" spans="1:13" s="40" customFormat="1" x14ac:dyDescent="0.2">
      <c r="A28" s="90" t="s">
        <v>1973</v>
      </c>
      <c r="B28" s="39"/>
      <c r="C28" s="112">
        <v>24</v>
      </c>
      <c r="D28" s="63"/>
      <c r="E28" s="112"/>
      <c r="F28" s="63"/>
      <c r="G28" s="76">
        <f>E28</f>
        <v>0</v>
      </c>
      <c r="H28" s="63"/>
      <c r="I28" s="112"/>
      <c r="J28" s="63"/>
      <c r="K28" s="112"/>
      <c r="L28" s="63"/>
      <c r="M28" s="76"/>
    </row>
    <row r="29" spans="1:13" s="40" customFormat="1" x14ac:dyDescent="0.2">
      <c r="A29" s="90" t="s">
        <v>1974</v>
      </c>
      <c r="B29" s="39"/>
      <c r="C29" s="112">
        <v>0</v>
      </c>
      <c r="D29" s="63"/>
      <c r="E29" s="112"/>
      <c r="F29" s="63"/>
      <c r="G29" s="76">
        <f>E29</f>
        <v>0</v>
      </c>
      <c r="H29" s="63"/>
      <c r="I29" s="112"/>
      <c r="J29" s="63"/>
      <c r="K29" s="112"/>
      <c r="L29" s="63"/>
      <c r="M29" s="76"/>
    </row>
    <row r="30" spans="1:13" s="40" customFormat="1" x14ac:dyDescent="0.2">
      <c r="A30" s="90" t="s">
        <v>1975</v>
      </c>
      <c r="B30" s="39"/>
      <c r="C30" s="112">
        <v>55</v>
      </c>
      <c r="D30" s="63"/>
      <c r="E30" s="112">
        <v>61</v>
      </c>
      <c r="F30" s="63"/>
      <c r="G30" s="76">
        <f>E30</f>
        <v>61</v>
      </c>
      <c r="H30" s="63"/>
      <c r="I30" s="112">
        <v>75</v>
      </c>
      <c r="J30" s="63"/>
      <c r="K30" s="112">
        <v>75</v>
      </c>
      <c r="L30" s="63"/>
      <c r="M30" s="76"/>
    </row>
    <row r="31" spans="1:13" s="40" customFormat="1" x14ac:dyDescent="0.2">
      <c r="A31" s="90" t="s">
        <v>1976</v>
      </c>
      <c r="B31" s="39"/>
      <c r="C31" s="112">
        <v>53</v>
      </c>
      <c r="D31" s="63"/>
      <c r="E31" s="112">
        <v>30</v>
      </c>
      <c r="F31" s="63"/>
      <c r="G31" s="76">
        <f>E31</f>
        <v>30</v>
      </c>
      <c r="H31" s="63"/>
      <c r="I31" s="112">
        <v>36</v>
      </c>
      <c r="J31" s="63"/>
      <c r="K31" s="112">
        <v>36</v>
      </c>
      <c r="L31" s="63"/>
      <c r="M31" s="76"/>
    </row>
    <row r="32" spans="1:13" s="40" customFormat="1" x14ac:dyDescent="0.2">
      <c r="A32" s="38" t="s">
        <v>1981</v>
      </c>
      <c r="B32" s="39"/>
      <c r="C32" s="112">
        <v>72</v>
      </c>
      <c r="D32" s="63"/>
      <c r="E32" s="112">
        <v>72</v>
      </c>
      <c r="F32" s="63"/>
      <c r="G32" s="76">
        <v>72</v>
      </c>
      <c r="H32" s="63"/>
      <c r="I32" s="112">
        <v>73</v>
      </c>
      <c r="J32" s="63"/>
      <c r="K32" s="112">
        <v>73</v>
      </c>
      <c r="L32" s="63"/>
      <c r="M32" s="333"/>
    </row>
    <row r="33" spans="1:13" s="40" customFormat="1" x14ac:dyDescent="0.2">
      <c r="A33" s="38" t="s">
        <v>2145</v>
      </c>
      <c r="B33" s="39"/>
      <c r="C33" s="112">
        <v>1934</v>
      </c>
      <c r="D33" s="63"/>
      <c r="E33" s="112">
        <v>1927</v>
      </c>
      <c r="F33" s="63"/>
      <c r="G33" s="76">
        <v>2000</v>
      </c>
      <c r="H33" s="63"/>
      <c r="I33" s="112">
        <v>1824</v>
      </c>
      <c r="J33" s="63"/>
      <c r="K33" s="112">
        <v>1824</v>
      </c>
      <c r="L33" s="63"/>
      <c r="M33" s="76"/>
    </row>
    <row r="34" spans="1:13" s="40" customFormat="1" x14ac:dyDescent="0.2">
      <c r="A34" s="38" t="s">
        <v>1983</v>
      </c>
      <c r="B34" s="39"/>
      <c r="C34" s="695"/>
      <c r="D34" s="63"/>
      <c r="E34" s="695"/>
      <c r="F34" s="63"/>
      <c r="G34" s="65"/>
      <c r="H34" s="63"/>
      <c r="I34" s="695"/>
      <c r="J34" s="63"/>
      <c r="K34" s="695"/>
      <c r="L34" s="63"/>
      <c r="M34" s="65"/>
    </row>
    <row r="35" spans="1:13" s="40" customFormat="1" x14ac:dyDescent="0.2">
      <c r="A35" s="41" t="s">
        <v>1984</v>
      </c>
      <c r="B35" s="39"/>
      <c r="C35" s="112">
        <v>1482</v>
      </c>
      <c r="D35" s="63"/>
      <c r="E35" s="112">
        <v>1355</v>
      </c>
      <c r="F35" s="63"/>
      <c r="G35" s="76">
        <v>1355</v>
      </c>
      <c r="H35" s="63"/>
      <c r="I35" s="112">
        <v>1331</v>
      </c>
      <c r="J35" s="63"/>
      <c r="K35" s="112">
        <v>1331</v>
      </c>
      <c r="L35" s="63"/>
      <c r="M35" s="76"/>
    </row>
    <row r="36" spans="1:13" s="40" customFormat="1" x14ac:dyDescent="0.2">
      <c r="A36" s="41" t="s">
        <v>1985</v>
      </c>
      <c r="B36" s="39"/>
      <c r="C36" s="112">
        <v>453</v>
      </c>
      <c r="D36" s="63"/>
      <c r="E36" s="112">
        <v>466</v>
      </c>
      <c r="F36" s="63"/>
      <c r="G36" s="76">
        <v>466</v>
      </c>
      <c r="H36" s="63"/>
      <c r="I36" s="112">
        <v>392</v>
      </c>
      <c r="J36" s="63"/>
      <c r="K36" s="112">
        <v>392</v>
      </c>
      <c r="L36" s="63"/>
      <c r="M36" s="76"/>
    </row>
    <row r="37" spans="1:13" s="40" customFormat="1" x14ac:dyDescent="0.2">
      <c r="A37" s="38" t="s">
        <v>2146</v>
      </c>
      <c r="B37" s="39"/>
      <c r="C37" s="1181" t="s">
        <v>2147</v>
      </c>
      <c r="D37" s="63"/>
      <c r="E37" s="1181" t="s">
        <v>2147</v>
      </c>
      <c r="F37" s="63"/>
      <c r="G37" s="1077" t="s">
        <v>2147</v>
      </c>
      <c r="H37" s="63"/>
      <c r="I37" s="1181" t="s">
        <v>2148</v>
      </c>
      <c r="J37" s="63"/>
      <c r="K37" s="1181" t="s">
        <v>2148</v>
      </c>
      <c r="L37" s="63"/>
      <c r="M37" s="1186"/>
    </row>
    <row r="38" spans="1:13" s="40" customFormat="1" x14ac:dyDescent="0.2">
      <c r="A38" s="38" t="s">
        <v>2149</v>
      </c>
      <c r="B38" s="39"/>
      <c r="C38" s="111"/>
      <c r="D38" s="63"/>
      <c r="E38" s="111"/>
      <c r="F38" s="63"/>
      <c r="G38" s="63"/>
      <c r="H38" s="63"/>
      <c r="I38" s="111"/>
      <c r="J38" s="63"/>
      <c r="K38" s="111"/>
      <c r="L38" s="63"/>
      <c r="M38" s="63"/>
    </row>
    <row r="39" spans="1:13" s="40" customFormat="1" x14ac:dyDescent="0.2">
      <c r="A39" s="41" t="s">
        <v>2150</v>
      </c>
      <c r="B39" s="39"/>
      <c r="C39" s="112">
        <v>136</v>
      </c>
      <c r="D39" s="63"/>
      <c r="E39" s="112">
        <v>121</v>
      </c>
      <c r="F39" s="63"/>
      <c r="G39" s="76">
        <v>128</v>
      </c>
      <c r="H39" s="63"/>
      <c r="I39" s="112">
        <v>110</v>
      </c>
      <c r="J39" s="63"/>
      <c r="K39" s="112">
        <v>113</v>
      </c>
      <c r="L39" s="63"/>
      <c r="M39" s="76"/>
    </row>
    <row r="40" spans="1:13" s="40" customFormat="1" hidden="1" x14ac:dyDescent="0.2">
      <c r="A40" s="90" t="s">
        <v>2151</v>
      </c>
      <c r="B40" s="39"/>
      <c r="C40" s="112">
        <v>0</v>
      </c>
      <c r="D40" s="63"/>
      <c r="E40" s="112">
        <v>0</v>
      </c>
      <c r="F40" s="63"/>
      <c r="G40" s="76">
        <v>0</v>
      </c>
      <c r="H40" s="63"/>
      <c r="I40" s="112">
        <v>0</v>
      </c>
      <c r="J40" s="63"/>
      <c r="K40" s="112"/>
      <c r="L40" s="63"/>
      <c r="M40" s="76"/>
    </row>
    <row r="41" spans="1:13" s="40" customFormat="1" x14ac:dyDescent="0.2">
      <c r="A41" s="90" t="s">
        <v>2152</v>
      </c>
      <c r="B41" s="39"/>
      <c r="C41" s="112">
        <v>102</v>
      </c>
      <c r="D41" s="63"/>
      <c r="E41" s="112">
        <v>93</v>
      </c>
      <c r="F41" s="63"/>
      <c r="G41" s="76">
        <v>99</v>
      </c>
      <c r="H41" s="63"/>
      <c r="I41" s="112">
        <v>94</v>
      </c>
      <c r="J41" s="63"/>
      <c r="K41" s="112">
        <v>95</v>
      </c>
      <c r="L41" s="63"/>
      <c r="M41" s="76"/>
    </row>
    <row r="42" spans="1:13" s="40" customFormat="1" x14ac:dyDescent="0.2">
      <c r="A42" s="90" t="s">
        <v>2153</v>
      </c>
      <c r="B42" s="39"/>
      <c r="C42" s="112">
        <v>6</v>
      </c>
      <c r="D42" s="63"/>
      <c r="E42" s="112">
        <v>9</v>
      </c>
      <c r="F42" s="63"/>
      <c r="G42" s="76">
        <v>7</v>
      </c>
      <c r="H42" s="63"/>
      <c r="I42" s="112">
        <v>8</v>
      </c>
      <c r="J42" s="63"/>
      <c r="K42" s="112">
        <v>8</v>
      </c>
      <c r="L42" s="63"/>
      <c r="M42" s="76"/>
    </row>
    <row r="43" spans="1:13" s="40" customFormat="1" x14ac:dyDescent="0.2">
      <c r="A43" s="90" t="s">
        <v>2154</v>
      </c>
      <c r="B43" s="39"/>
      <c r="C43" s="112">
        <v>28</v>
      </c>
      <c r="D43" s="63"/>
      <c r="E43" s="112">
        <v>19</v>
      </c>
      <c r="F43" s="63"/>
      <c r="G43" s="76">
        <v>22</v>
      </c>
      <c r="H43" s="63"/>
      <c r="I43" s="112">
        <v>8</v>
      </c>
      <c r="J43" s="63"/>
      <c r="K43" s="112">
        <v>10</v>
      </c>
      <c r="L43" s="63"/>
      <c r="M43" s="76"/>
    </row>
    <row r="44" spans="1:13" s="40" customFormat="1" x14ac:dyDescent="0.2">
      <c r="A44" s="38" t="s">
        <v>2019</v>
      </c>
      <c r="B44" s="39"/>
      <c r="C44" s="111"/>
      <c r="D44" s="63"/>
      <c r="E44" s="111"/>
      <c r="F44" s="63"/>
      <c r="G44" s="63"/>
      <c r="H44" s="63"/>
      <c r="I44" s="111"/>
      <c r="J44" s="63"/>
      <c r="K44" s="111"/>
      <c r="L44" s="63"/>
      <c r="M44" s="65"/>
    </row>
    <row r="45" spans="1:13" s="40" customFormat="1" x14ac:dyDescent="0.2">
      <c r="A45" s="41" t="s">
        <v>2084</v>
      </c>
      <c r="B45" s="39"/>
      <c r="C45" s="112">
        <f>C47+C49</f>
        <v>1647.5</v>
      </c>
      <c r="D45" s="63"/>
      <c r="E45" s="112">
        <v>1551</v>
      </c>
      <c r="F45" s="63"/>
      <c r="G45" s="76">
        <v>2020</v>
      </c>
      <c r="H45" s="63"/>
      <c r="I45" s="112">
        <v>1654</v>
      </c>
      <c r="J45" s="63"/>
      <c r="K45" s="112">
        <v>1654</v>
      </c>
      <c r="L45" s="63"/>
      <c r="M45" s="76"/>
    </row>
    <row r="46" spans="1:13" s="40" customFormat="1" x14ac:dyDescent="0.2">
      <c r="A46" s="41" t="s">
        <v>2128</v>
      </c>
      <c r="B46" s="39"/>
      <c r="C46" s="112">
        <f>C48+C50</f>
        <v>541.5</v>
      </c>
      <c r="D46" s="63"/>
      <c r="E46" s="112">
        <v>595</v>
      </c>
      <c r="F46" s="63"/>
      <c r="G46" s="76">
        <f>G48+G50</f>
        <v>595</v>
      </c>
      <c r="H46" s="63"/>
      <c r="I46" s="112">
        <v>572</v>
      </c>
      <c r="J46" s="63"/>
      <c r="K46" s="112">
        <v>572</v>
      </c>
      <c r="L46" s="63"/>
      <c r="M46" s="76"/>
    </row>
    <row r="47" spans="1:13" s="40" customFormat="1" x14ac:dyDescent="0.2">
      <c r="A47" s="90" t="s">
        <v>2129</v>
      </c>
      <c r="B47" s="39"/>
      <c r="C47" s="112">
        <v>1100.5</v>
      </c>
      <c r="D47" s="1187"/>
      <c r="E47" s="112">
        <v>954</v>
      </c>
      <c r="F47" s="63"/>
      <c r="G47" s="76">
        <f>E47</f>
        <v>954</v>
      </c>
      <c r="H47" s="63"/>
      <c r="I47" s="112">
        <v>1149</v>
      </c>
      <c r="J47" s="63"/>
      <c r="K47" s="112">
        <v>1149</v>
      </c>
      <c r="L47" s="63"/>
      <c r="M47" s="76"/>
    </row>
    <row r="48" spans="1:13" s="40" customFormat="1" x14ac:dyDescent="0.2">
      <c r="A48" s="90" t="s">
        <v>2130</v>
      </c>
      <c r="B48" s="39"/>
      <c r="C48" s="112">
        <v>323</v>
      </c>
      <c r="D48" s="1187"/>
      <c r="E48" s="112">
        <v>292</v>
      </c>
      <c r="F48" s="63"/>
      <c r="G48" s="76">
        <f>E48</f>
        <v>292</v>
      </c>
      <c r="H48" s="63"/>
      <c r="I48" s="112">
        <v>317</v>
      </c>
      <c r="J48" s="63"/>
      <c r="K48" s="112">
        <v>317</v>
      </c>
      <c r="L48" s="63"/>
      <c r="M48" s="76"/>
    </row>
    <row r="49" spans="1:14" s="40" customFormat="1" x14ac:dyDescent="0.2">
      <c r="A49" s="90" t="s">
        <v>2131</v>
      </c>
      <c r="B49" s="39"/>
      <c r="C49" s="112">
        <v>547</v>
      </c>
      <c r="D49" s="1187"/>
      <c r="E49" s="112">
        <v>597</v>
      </c>
      <c r="F49" s="63"/>
      <c r="G49" s="76">
        <f>E49</f>
        <v>597</v>
      </c>
      <c r="H49" s="63"/>
      <c r="I49" s="112">
        <v>505</v>
      </c>
      <c r="J49" s="63"/>
      <c r="K49" s="112">
        <v>505</v>
      </c>
      <c r="L49" s="63"/>
      <c r="M49" s="76"/>
    </row>
    <row r="50" spans="1:14" s="40" customFormat="1" x14ac:dyDescent="0.2">
      <c r="A50" s="90" t="s">
        <v>2132</v>
      </c>
      <c r="B50" s="39"/>
      <c r="C50" s="112">
        <v>218.5</v>
      </c>
      <c r="D50" s="1187"/>
      <c r="E50" s="112">
        <v>303</v>
      </c>
      <c r="F50" s="63"/>
      <c r="G50" s="76">
        <f>E50</f>
        <v>303</v>
      </c>
      <c r="H50" s="63"/>
      <c r="I50" s="112">
        <v>255</v>
      </c>
      <c r="J50" s="63"/>
      <c r="K50" s="112">
        <v>255</v>
      </c>
      <c r="L50" s="63"/>
      <c r="M50" s="76"/>
    </row>
    <row r="51" spans="1:14" s="40" customFormat="1" x14ac:dyDescent="0.2">
      <c r="A51" s="41" t="s">
        <v>2133</v>
      </c>
      <c r="B51" s="39"/>
      <c r="C51" s="126">
        <v>5359422.95</v>
      </c>
      <c r="D51" s="1187"/>
      <c r="E51" s="126">
        <v>3851329</v>
      </c>
      <c r="F51" s="63"/>
      <c r="G51" s="97">
        <f>E51</f>
        <v>3851329</v>
      </c>
      <c r="H51" s="63"/>
      <c r="I51" s="126">
        <v>5676528</v>
      </c>
      <c r="J51" s="63"/>
      <c r="K51" s="126">
        <v>5676528</v>
      </c>
      <c r="L51" s="63"/>
      <c r="M51" s="97"/>
    </row>
    <row r="52" spans="1:14" s="40" customFormat="1" ht="25.5" x14ac:dyDescent="0.2">
      <c r="A52" s="39" t="s">
        <v>1993</v>
      </c>
      <c r="B52" s="39"/>
      <c r="C52" s="112">
        <v>569</v>
      </c>
      <c r="D52" s="63"/>
      <c r="E52" s="112">
        <v>622</v>
      </c>
      <c r="F52" s="63"/>
      <c r="G52" s="76"/>
      <c r="H52" s="63"/>
      <c r="I52" s="112">
        <v>711</v>
      </c>
      <c r="J52" s="63"/>
      <c r="K52" s="112"/>
      <c r="L52" s="63"/>
      <c r="M52" s="77"/>
    </row>
    <row r="53" spans="1:14" s="40" customFormat="1" x14ac:dyDescent="0.2">
      <c r="A53" s="41" t="s">
        <v>1994</v>
      </c>
      <c r="B53" s="39"/>
      <c r="C53" s="112">
        <v>473</v>
      </c>
      <c r="D53" s="63"/>
      <c r="E53" s="112">
        <v>483</v>
      </c>
      <c r="F53" s="63"/>
      <c r="G53" s="76"/>
      <c r="H53" s="63"/>
      <c r="I53" s="112">
        <v>508</v>
      </c>
      <c r="J53" s="63"/>
      <c r="K53" s="112"/>
      <c r="L53" s="63"/>
      <c r="M53" s="77"/>
    </row>
    <row r="54" spans="1:14" s="40" customFormat="1" x14ac:dyDescent="0.2">
      <c r="A54" s="41" t="s">
        <v>2155</v>
      </c>
      <c r="B54" s="39"/>
      <c r="C54" s="112">
        <v>446</v>
      </c>
      <c r="D54" s="63"/>
      <c r="E54" s="112">
        <v>449</v>
      </c>
      <c r="F54" s="63"/>
      <c r="G54" s="76"/>
      <c r="H54" s="63"/>
      <c r="I54" s="112">
        <v>506</v>
      </c>
      <c r="J54" s="63"/>
      <c r="K54" s="112"/>
      <c r="L54" s="63"/>
      <c r="M54" s="77"/>
    </row>
    <row r="55" spans="1:14" s="40" customFormat="1" x14ac:dyDescent="0.2">
      <c r="A55" s="41" t="s">
        <v>2003</v>
      </c>
      <c r="B55" s="39"/>
      <c r="C55" s="121">
        <f>SUM(C53:C54)</f>
        <v>919</v>
      </c>
      <c r="D55" s="71"/>
      <c r="E55" s="121">
        <f>SUM(E53:E54)</f>
        <v>932</v>
      </c>
      <c r="F55" s="71"/>
      <c r="G55" s="71">
        <f t="shared" ref="G55:I55" si="0">SUM(G53:G54)</f>
        <v>0</v>
      </c>
      <c r="H55" s="71">
        <f t="shared" si="0"/>
        <v>0</v>
      </c>
      <c r="I55" s="121">
        <f t="shared" si="0"/>
        <v>1014</v>
      </c>
      <c r="J55" s="63"/>
      <c r="K55" s="121"/>
      <c r="L55" s="63"/>
      <c r="M55" s="71"/>
      <c r="N55" s="76"/>
    </row>
    <row r="56" spans="1:14" s="40" customFormat="1" x14ac:dyDescent="0.2">
      <c r="A56" s="38" t="s">
        <v>2156</v>
      </c>
      <c r="B56" s="39"/>
      <c r="C56" s="111"/>
      <c r="D56" s="63"/>
      <c r="E56" s="111"/>
      <c r="F56" s="63"/>
      <c r="G56" s="63"/>
      <c r="H56" s="63"/>
      <c r="I56" s="111"/>
      <c r="J56" s="63"/>
      <c r="K56" s="111"/>
      <c r="L56" s="63"/>
    </row>
    <row r="57" spans="1:14" s="40" customFormat="1" x14ac:dyDescent="0.2">
      <c r="A57" s="41" t="s">
        <v>2005</v>
      </c>
      <c r="B57" s="39"/>
      <c r="C57" s="391">
        <v>0.77600000000000002</v>
      </c>
      <c r="D57" s="63"/>
      <c r="E57" s="391">
        <v>0.77200000000000002</v>
      </c>
      <c r="F57" s="63"/>
      <c r="G57" s="100"/>
      <c r="H57" s="63"/>
      <c r="I57" s="391"/>
      <c r="J57" s="63"/>
      <c r="K57" s="391"/>
      <c r="L57" s="63"/>
      <c r="M57" s="101"/>
    </row>
    <row r="58" spans="1:14" s="40" customFormat="1" x14ac:dyDescent="0.2">
      <c r="A58" s="41" t="s">
        <v>2006</v>
      </c>
      <c r="B58" s="39"/>
      <c r="C58" s="391">
        <v>0.29399999999999998</v>
      </c>
      <c r="D58" s="63"/>
      <c r="E58" s="391">
        <v>0.31</v>
      </c>
      <c r="F58" s="63"/>
      <c r="G58" s="100"/>
      <c r="H58" s="63"/>
      <c r="I58" s="391"/>
      <c r="J58" s="63"/>
      <c r="K58" s="391"/>
      <c r="L58" s="63"/>
      <c r="M58" s="101"/>
    </row>
    <row r="59" spans="1:14" s="40" customFormat="1" x14ac:dyDescent="0.2">
      <c r="A59" s="38" t="s">
        <v>2007</v>
      </c>
      <c r="B59" s="39"/>
      <c r="C59" s="111"/>
      <c r="D59" s="63"/>
      <c r="E59" s="111"/>
      <c r="F59" s="63"/>
      <c r="G59" s="63"/>
      <c r="H59" s="63"/>
      <c r="I59" s="111"/>
      <c r="J59" s="63"/>
      <c r="K59" s="111"/>
      <c r="L59" s="63"/>
    </row>
    <row r="60" spans="1:14" s="40" customFormat="1" x14ac:dyDescent="0.2">
      <c r="A60" s="41" t="s">
        <v>2157</v>
      </c>
      <c r="B60" s="39"/>
      <c r="C60" s="126">
        <v>28338</v>
      </c>
      <c r="D60" s="63"/>
      <c r="E60" s="126">
        <v>29268</v>
      </c>
      <c r="F60" s="63"/>
      <c r="G60" s="97"/>
      <c r="H60" s="63"/>
      <c r="I60" s="126">
        <v>30707</v>
      </c>
      <c r="J60" s="63"/>
      <c r="K60" s="126"/>
      <c r="L60" s="63"/>
      <c r="M60" s="98"/>
    </row>
    <row r="61" spans="1:14" s="40" customFormat="1" x14ac:dyDescent="0.2">
      <c r="A61" s="41" t="s">
        <v>2158</v>
      </c>
      <c r="B61" s="39"/>
      <c r="C61" s="126">
        <v>7936</v>
      </c>
      <c r="D61" s="63"/>
      <c r="E61" s="126">
        <v>8114</v>
      </c>
      <c r="F61" s="63"/>
      <c r="G61" s="97"/>
      <c r="H61" s="63"/>
      <c r="I61" s="126">
        <v>8350</v>
      </c>
      <c r="J61" s="63"/>
      <c r="K61" s="126"/>
      <c r="L61" s="63"/>
      <c r="M61" s="98"/>
    </row>
    <row r="62" spans="1:14" s="40" customFormat="1" x14ac:dyDescent="0.2">
      <c r="A62" s="41" t="s">
        <v>2159</v>
      </c>
      <c r="B62" s="39"/>
      <c r="C62" s="126">
        <v>16765</v>
      </c>
      <c r="D62" s="63"/>
      <c r="E62" s="126">
        <v>17142</v>
      </c>
      <c r="F62" s="63"/>
      <c r="G62" s="97"/>
      <c r="H62" s="63"/>
      <c r="I62" s="126">
        <v>17640</v>
      </c>
      <c r="J62" s="63"/>
      <c r="K62" s="126"/>
      <c r="L62" s="63"/>
      <c r="M62" s="98"/>
    </row>
    <row r="63" spans="1:14" s="40" customFormat="1" x14ac:dyDescent="0.2">
      <c r="A63" s="41" t="s">
        <v>2011</v>
      </c>
      <c r="B63" s="39"/>
      <c r="C63" s="126">
        <v>3243</v>
      </c>
      <c r="D63" s="63"/>
      <c r="E63" s="126">
        <v>3296</v>
      </c>
      <c r="F63" s="63"/>
      <c r="G63" s="97"/>
      <c r="H63" s="63"/>
      <c r="I63" s="126">
        <v>3411</v>
      </c>
      <c r="J63" s="63"/>
      <c r="K63" s="126"/>
      <c r="L63" s="63"/>
      <c r="M63" s="98"/>
    </row>
    <row r="64" spans="1:14" s="40" customFormat="1" x14ac:dyDescent="0.2">
      <c r="A64" s="90"/>
      <c r="B64" s="39"/>
      <c r="C64" s="111"/>
      <c r="D64" s="63"/>
      <c r="E64" s="111"/>
      <c r="F64" s="63"/>
      <c r="G64" s="63"/>
      <c r="H64" s="63"/>
      <c r="I64" s="111"/>
      <c r="J64" s="63"/>
      <c r="K64" s="111"/>
      <c r="L64" s="63"/>
    </row>
    <row r="65" spans="1:13" s="37" customFormat="1" x14ac:dyDescent="0.2">
      <c r="A65" s="35" t="s">
        <v>517</v>
      </c>
      <c r="B65" s="36"/>
      <c r="C65" s="111"/>
      <c r="D65" s="63"/>
      <c r="E65" s="111"/>
      <c r="F65" s="87"/>
      <c r="G65" s="87"/>
      <c r="H65" s="87"/>
      <c r="I65" s="111"/>
      <c r="J65" s="87"/>
      <c r="K65" s="111"/>
      <c r="L65" s="87"/>
    </row>
    <row r="66" spans="1:13" s="37" customFormat="1" x14ac:dyDescent="0.2">
      <c r="A66" s="35" t="s">
        <v>1968</v>
      </c>
      <c r="B66" s="36"/>
      <c r="C66" s="111"/>
      <c r="D66" s="63"/>
      <c r="E66" s="111"/>
      <c r="F66" s="87"/>
      <c r="G66" s="87"/>
      <c r="H66" s="87"/>
      <c r="I66" s="111"/>
      <c r="J66" s="87"/>
      <c r="K66" s="111"/>
      <c r="L66" s="87"/>
    </row>
    <row r="67" spans="1:13" s="40" customFormat="1" x14ac:dyDescent="0.2">
      <c r="A67" s="38" t="s">
        <v>2097</v>
      </c>
      <c r="B67" s="39"/>
      <c r="C67" s="111"/>
      <c r="D67" s="63"/>
      <c r="E67" s="111"/>
      <c r="F67" s="63"/>
      <c r="G67" s="63"/>
      <c r="H67" s="63"/>
      <c r="I67" s="111"/>
      <c r="J67" s="63"/>
      <c r="K67" s="111"/>
      <c r="L67" s="63"/>
    </row>
    <row r="68" spans="1:13" s="40" customFormat="1" x14ac:dyDescent="0.2">
      <c r="A68" s="41" t="s">
        <v>1298</v>
      </c>
      <c r="B68" s="39"/>
      <c r="C68" s="126">
        <v>66994000</v>
      </c>
      <c r="D68" s="97"/>
      <c r="E68" s="126">
        <v>67072667</v>
      </c>
      <c r="F68" s="97"/>
      <c r="G68" s="97"/>
      <c r="H68" s="63"/>
      <c r="I68" s="126">
        <v>67072667</v>
      </c>
      <c r="J68" s="63"/>
      <c r="K68" s="126"/>
      <c r="L68" s="63"/>
      <c r="M68" s="98"/>
    </row>
    <row r="69" spans="1:13" s="40" customFormat="1" x14ac:dyDescent="0.2">
      <c r="A69" s="41" t="s">
        <v>2160</v>
      </c>
      <c r="B69" s="39"/>
      <c r="C69" s="126">
        <v>29000</v>
      </c>
      <c r="D69" s="97"/>
      <c r="E69" s="126">
        <v>91615</v>
      </c>
      <c r="F69" s="97"/>
      <c r="G69" s="97"/>
      <c r="H69" s="63"/>
      <c r="I69" s="126">
        <v>91615</v>
      </c>
      <c r="J69" s="63"/>
      <c r="K69" s="126"/>
      <c r="L69" s="63"/>
      <c r="M69" s="98"/>
    </row>
    <row r="70" spans="1:13" s="40" customFormat="1" x14ac:dyDescent="0.2">
      <c r="A70" s="41" t="s">
        <v>2020</v>
      </c>
      <c r="B70" s="39"/>
      <c r="C70" s="126">
        <v>13995000</v>
      </c>
      <c r="D70" s="97"/>
      <c r="E70" s="126">
        <v>13703582</v>
      </c>
      <c r="F70" s="97"/>
      <c r="G70" s="97"/>
      <c r="H70" s="63"/>
      <c r="I70" s="126">
        <v>13703582</v>
      </c>
      <c r="J70" s="63"/>
      <c r="K70" s="126"/>
      <c r="L70" s="63"/>
      <c r="M70" s="98"/>
    </row>
    <row r="71" spans="1:13" s="40" customFormat="1" x14ac:dyDescent="0.2">
      <c r="A71" s="41" t="s">
        <v>2021</v>
      </c>
      <c r="B71" s="39"/>
      <c r="C71" s="126">
        <v>18373000</v>
      </c>
      <c r="D71" s="97"/>
      <c r="E71" s="126">
        <v>19686566</v>
      </c>
      <c r="F71" s="97"/>
      <c r="G71" s="97"/>
      <c r="H71" s="63"/>
      <c r="I71" s="126">
        <v>19686566</v>
      </c>
      <c r="J71" s="63"/>
      <c r="K71" s="126"/>
      <c r="L71" s="63"/>
      <c r="M71" s="98"/>
    </row>
    <row r="72" spans="1:13" s="40" customFormat="1" x14ac:dyDescent="0.2">
      <c r="A72" s="41" t="s">
        <v>2022</v>
      </c>
      <c r="B72" s="39"/>
      <c r="C72" s="126">
        <v>24487000</v>
      </c>
      <c r="D72" s="97"/>
      <c r="E72" s="126">
        <v>23572575</v>
      </c>
      <c r="F72" s="97"/>
      <c r="G72" s="97"/>
      <c r="H72" s="63"/>
      <c r="I72" s="126">
        <v>23572575</v>
      </c>
      <c r="J72" s="63"/>
      <c r="K72" s="126"/>
      <c r="L72" s="63"/>
      <c r="M72" s="98"/>
    </row>
    <row r="73" spans="1:13" s="40" customFormat="1" x14ac:dyDescent="0.2">
      <c r="A73" s="41" t="s">
        <v>2161</v>
      </c>
      <c r="B73" s="39"/>
      <c r="C73" s="126">
        <v>1853000</v>
      </c>
      <c r="D73" s="97"/>
      <c r="E73" s="126">
        <v>2298715</v>
      </c>
      <c r="F73" s="97"/>
      <c r="G73" s="97"/>
      <c r="H73" s="63"/>
      <c r="I73" s="126">
        <v>2298715</v>
      </c>
      <c r="J73" s="63"/>
      <c r="K73" s="126"/>
      <c r="L73" s="63"/>
      <c r="M73" s="98"/>
    </row>
    <row r="74" spans="1:13" s="40" customFormat="1" x14ac:dyDescent="0.2">
      <c r="A74" s="41" t="s">
        <v>2023</v>
      </c>
      <c r="B74" s="39"/>
      <c r="C74" s="126">
        <v>17930000</v>
      </c>
      <c r="D74" s="97"/>
      <c r="E74" s="126">
        <v>18410340</v>
      </c>
      <c r="F74" s="97"/>
      <c r="G74" s="97"/>
      <c r="H74" s="63"/>
      <c r="I74" s="126">
        <v>18410340</v>
      </c>
      <c r="J74" s="63"/>
      <c r="K74" s="126"/>
      <c r="L74" s="63"/>
      <c r="M74" s="98"/>
    </row>
    <row r="75" spans="1:13" s="40" customFormat="1" x14ac:dyDescent="0.2">
      <c r="A75" s="38"/>
      <c r="B75" s="39"/>
      <c r="C75" s="126"/>
      <c r="D75" s="97"/>
      <c r="E75" s="126"/>
      <c r="F75" s="97"/>
      <c r="G75" s="97"/>
      <c r="H75" s="63"/>
      <c r="I75" s="126"/>
      <c r="J75" s="63"/>
      <c r="K75" s="126"/>
      <c r="L75" s="63"/>
    </row>
    <row r="76" spans="1:13" s="37" customFormat="1" x14ac:dyDescent="0.2">
      <c r="A76" s="35" t="s">
        <v>194</v>
      </c>
      <c r="B76" s="36"/>
      <c r="C76" s="639"/>
      <c r="D76" s="43"/>
      <c r="E76" s="639"/>
      <c r="F76" s="63"/>
      <c r="G76" s="63"/>
      <c r="H76" s="87"/>
      <c r="I76" s="639"/>
      <c r="J76" s="87"/>
      <c r="K76" s="639"/>
      <c r="L76" s="87"/>
    </row>
    <row r="77" spans="1:13" s="37" customFormat="1" x14ac:dyDescent="0.2">
      <c r="A77" s="35" t="s">
        <v>195</v>
      </c>
      <c r="B77" s="36"/>
      <c r="C77" s="111"/>
      <c r="D77" s="63"/>
      <c r="E77" s="111"/>
      <c r="F77" s="87"/>
      <c r="G77" s="87"/>
      <c r="H77" s="87"/>
      <c r="I77" s="111"/>
      <c r="J77" s="87"/>
      <c r="K77" s="111"/>
      <c r="L77" s="87"/>
    </row>
    <row r="78" spans="1:13" s="40" customFormat="1" x14ac:dyDescent="0.2">
      <c r="A78" s="41" t="s">
        <v>2137</v>
      </c>
      <c r="B78" s="39"/>
      <c r="C78" s="112">
        <v>1129</v>
      </c>
      <c r="D78" s="76"/>
      <c r="E78" s="112">
        <v>1129</v>
      </c>
      <c r="F78" s="76"/>
      <c r="G78" s="76">
        <v>1129</v>
      </c>
      <c r="H78" s="63"/>
      <c r="I78" s="112">
        <v>1129</v>
      </c>
      <c r="J78" s="63"/>
      <c r="K78" s="112">
        <v>1129</v>
      </c>
      <c r="L78" s="63"/>
      <c r="M78" s="393"/>
    </row>
    <row r="79" spans="1:13" s="37" customFormat="1" x14ac:dyDescent="0.2">
      <c r="A79" s="35"/>
      <c r="B79" s="36"/>
      <c r="C79" s="76"/>
      <c r="D79" s="76"/>
      <c r="E79" s="76"/>
      <c r="F79" s="76"/>
      <c r="G79" s="76"/>
      <c r="I79" s="76"/>
      <c r="M79" s="89"/>
    </row>
    <row r="80" spans="1:13" s="48" customFormat="1" x14ac:dyDescent="0.2">
      <c r="A80" s="46"/>
      <c r="B80" s="47"/>
    </row>
    <row r="81" spans="1:17" s="48" customFormat="1" x14ac:dyDescent="0.2">
      <c r="A81" s="49" t="s">
        <v>200</v>
      </c>
      <c r="B81" s="50"/>
      <c r="C81" s="51"/>
      <c r="D81" s="52"/>
      <c r="E81" s="53"/>
      <c r="F81" s="52"/>
      <c r="G81" s="53"/>
      <c r="H81" s="52"/>
      <c r="I81" s="53"/>
      <c r="J81" s="52"/>
      <c r="K81" s="53"/>
      <c r="L81" s="52"/>
      <c r="M81" s="51"/>
      <c r="N81" s="52"/>
    </row>
    <row r="82" spans="1:17" ht="18.75" customHeight="1" x14ac:dyDescent="0.2">
      <c r="A82" s="1738" t="s">
        <v>2162</v>
      </c>
      <c r="B82" s="1736"/>
      <c r="C82" s="1737"/>
      <c r="D82" s="1736"/>
      <c r="E82" s="1737"/>
      <c r="F82" s="1736"/>
      <c r="G82" s="1737"/>
      <c r="H82" s="1736"/>
      <c r="I82" s="1737"/>
      <c r="J82" s="1736"/>
      <c r="K82" s="1737"/>
      <c r="L82" s="1736"/>
      <c r="M82" s="1737"/>
      <c r="N82" s="1736"/>
      <c r="O82" s="54"/>
      <c r="P82" s="54"/>
      <c r="Q82" s="951"/>
    </row>
    <row r="83" spans="1:17" ht="18.75" customHeight="1" x14ac:dyDescent="0.2">
      <c r="A83" s="1738" t="s">
        <v>2163</v>
      </c>
      <c r="B83" s="1736"/>
      <c r="C83" s="1737"/>
      <c r="D83" s="1736"/>
      <c r="E83" s="1737"/>
      <c r="F83" s="1736"/>
      <c r="G83" s="1737"/>
      <c r="H83" s="1736"/>
      <c r="I83" s="1737"/>
      <c r="J83" s="1736"/>
      <c r="K83" s="1737"/>
      <c r="L83" s="1736"/>
      <c r="M83" s="1737"/>
      <c r="N83" s="1736"/>
      <c r="O83" s="54"/>
      <c r="P83" s="54"/>
    </row>
    <row r="84" spans="1:17" ht="18.75" customHeight="1" x14ac:dyDescent="0.2">
      <c r="A84" s="1738" t="s">
        <v>2164</v>
      </c>
      <c r="B84" s="1736"/>
      <c r="C84" s="1737"/>
      <c r="D84" s="1736"/>
      <c r="E84" s="1737"/>
      <c r="F84" s="1736"/>
      <c r="G84" s="1737"/>
      <c r="H84" s="1736"/>
      <c r="I84" s="1737"/>
      <c r="J84" s="1736"/>
      <c r="K84" s="1737"/>
      <c r="L84" s="1736"/>
      <c r="M84" s="1737"/>
      <c r="N84" s="1736"/>
      <c r="O84" s="54"/>
      <c r="P84" s="54"/>
    </row>
    <row r="85" spans="1:17" ht="18.75" customHeight="1" x14ac:dyDescent="0.2">
      <c r="A85" s="1738" t="s">
        <v>2165</v>
      </c>
      <c r="B85" s="1736"/>
      <c r="C85" s="1736"/>
      <c r="D85" s="1736"/>
      <c r="E85" s="1736"/>
      <c r="F85" s="1736"/>
      <c r="G85" s="1736"/>
      <c r="H85" s="1736"/>
      <c r="I85" s="1736"/>
      <c r="J85" s="1736"/>
      <c r="K85" s="1736"/>
      <c r="L85" s="1736"/>
      <c r="M85" s="1736"/>
      <c r="N85" s="137"/>
      <c r="O85" s="54"/>
      <c r="P85" s="54"/>
    </row>
    <row r="86" spans="1:17" ht="27.75" customHeight="1" x14ac:dyDescent="0.2">
      <c r="A86" s="1735"/>
      <c r="B86" s="1736"/>
      <c r="C86" s="1737"/>
      <c r="D86" s="1736"/>
      <c r="E86" s="1737"/>
      <c r="F86" s="1736"/>
      <c r="G86" s="1737"/>
      <c r="H86" s="1736"/>
      <c r="I86" s="1737"/>
      <c r="J86" s="1736"/>
      <c r="K86" s="1737"/>
      <c r="L86" s="1736"/>
      <c r="M86" s="1737"/>
      <c r="N86" s="1736"/>
      <c r="O86" s="54"/>
      <c r="P86" s="54"/>
    </row>
    <row r="87" spans="1:17" ht="27.75" customHeight="1" x14ac:dyDescent="0.2">
      <c r="A87" s="1735"/>
      <c r="B87" s="1736"/>
      <c r="C87" s="1737"/>
      <c r="D87" s="1736"/>
      <c r="E87" s="1737"/>
      <c r="F87" s="1736"/>
      <c r="G87" s="1737"/>
      <c r="H87" s="1736"/>
      <c r="I87" s="1737"/>
      <c r="J87" s="1736"/>
      <c r="K87" s="1737"/>
      <c r="L87" s="1736"/>
      <c r="M87" s="1737"/>
      <c r="N87" s="1736"/>
      <c r="O87" s="54"/>
      <c r="P87" s="54"/>
    </row>
    <row r="88" spans="1:17" x14ac:dyDescent="0.2">
      <c r="A88" s="55"/>
      <c r="B88" s="54"/>
      <c r="C88" s="56"/>
      <c r="D88" s="54"/>
      <c r="E88" s="56"/>
      <c r="F88" s="54"/>
      <c r="G88" s="56"/>
      <c r="H88" s="54"/>
      <c r="I88" s="56"/>
      <c r="J88" s="54"/>
      <c r="K88" s="56"/>
      <c r="L88" s="54"/>
      <c r="M88" s="56"/>
      <c r="N88" s="54"/>
      <c r="O88" s="54"/>
      <c r="P88" s="54"/>
    </row>
    <row r="89" spans="1:17" x14ac:dyDescent="0.2">
      <c r="A89" s="55"/>
      <c r="B89" s="54"/>
      <c r="C89" s="54"/>
      <c r="D89" s="54"/>
      <c r="E89" s="54"/>
      <c r="F89" s="54"/>
      <c r="G89" s="54"/>
      <c r="H89" s="54"/>
      <c r="I89" s="54"/>
      <c r="J89" s="54"/>
      <c r="K89" s="54"/>
      <c r="L89" s="54"/>
      <c r="M89" s="54"/>
      <c r="N89" s="54"/>
      <c r="O89" s="54"/>
      <c r="P89" s="54"/>
    </row>
    <row r="90" spans="1:17" x14ac:dyDescent="0.2">
      <c r="A90" s="55"/>
      <c r="B90" s="54"/>
      <c r="C90" s="56"/>
      <c r="D90" s="54"/>
      <c r="E90" s="56"/>
      <c r="F90" s="54"/>
      <c r="G90" s="56"/>
      <c r="H90" s="54"/>
      <c r="I90" s="56"/>
      <c r="J90" s="54"/>
      <c r="K90" s="56"/>
      <c r="L90" s="54"/>
      <c r="M90" s="56"/>
      <c r="N90" s="54"/>
      <c r="O90" s="54"/>
      <c r="P90" s="54"/>
    </row>
    <row r="91" spans="1:17" x14ac:dyDescent="0.2">
      <c r="A91" s="55"/>
      <c r="B91" s="54"/>
      <c r="C91" s="54"/>
      <c r="D91" s="54"/>
      <c r="E91" s="54"/>
      <c r="F91" s="54"/>
      <c r="G91" s="54"/>
      <c r="H91" s="54"/>
      <c r="I91" s="54"/>
      <c r="J91" s="54"/>
      <c r="K91" s="54"/>
      <c r="L91" s="54"/>
      <c r="M91" s="54"/>
      <c r="N91" s="54"/>
      <c r="O91" s="54"/>
      <c r="P91" s="54"/>
    </row>
    <row r="92" spans="1:17" x14ac:dyDescent="0.2">
      <c r="A92" s="55"/>
      <c r="B92" s="54"/>
      <c r="C92" s="56"/>
      <c r="D92" s="54"/>
      <c r="E92" s="56"/>
      <c r="F92" s="54"/>
      <c r="G92" s="56"/>
      <c r="H92" s="54"/>
      <c r="I92" s="56"/>
      <c r="J92" s="54"/>
      <c r="K92" s="56"/>
      <c r="L92" s="54"/>
      <c r="M92" s="56"/>
      <c r="N92" s="54"/>
      <c r="O92" s="54"/>
      <c r="P92" s="54"/>
    </row>
    <row r="93" spans="1:17" x14ac:dyDescent="0.2">
      <c r="A93" s="55"/>
      <c r="B93" s="54"/>
      <c r="C93" s="54"/>
      <c r="D93" s="54"/>
      <c r="E93" s="54"/>
      <c r="F93" s="54"/>
      <c r="G93" s="54"/>
      <c r="H93" s="54"/>
      <c r="I93" s="54"/>
      <c r="J93" s="54"/>
      <c r="K93" s="54"/>
      <c r="L93" s="54"/>
      <c r="M93" s="54"/>
      <c r="N93" s="54"/>
      <c r="O93" s="54"/>
      <c r="P93" s="54"/>
    </row>
    <row r="94" spans="1:17" x14ac:dyDescent="0.2">
      <c r="A94" s="55"/>
      <c r="B94" s="54"/>
      <c r="C94" s="54"/>
      <c r="D94" s="54"/>
      <c r="E94" s="54"/>
      <c r="F94" s="54"/>
      <c r="G94" s="54"/>
      <c r="H94" s="54"/>
      <c r="I94" s="54"/>
      <c r="J94" s="54"/>
      <c r="K94" s="54"/>
      <c r="L94" s="54"/>
      <c r="M94" s="54"/>
      <c r="N94" s="54"/>
      <c r="O94" s="54"/>
      <c r="P94" s="54"/>
    </row>
    <row r="95" spans="1:17" x14ac:dyDescent="0.2">
      <c r="A95" s="55"/>
      <c r="B95" s="54"/>
      <c r="C95" s="54"/>
      <c r="D95" s="54"/>
      <c r="E95" s="54"/>
      <c r="F95" s="54"/>
      <c r="G95" s="54"/>
      <c r="H95" s="54"/>
      <c r="I95" s="54"/>
      <c r="J95" s="54"/>
      <c r="K95" s="54"/>
      <c r="L95" s="54"/>
      <c r="M95" s="54"/>
      <c r="N95" s="54"/>
      <c r="O95" s="54"/>
      <c r="P95" s="54"/>
      <c r="Q95" s="57"/>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c r="C118" s="25"/>
      <c r="D118" s="25"/>
      <c r="E118" s="58"/>
      <c r="F118" s="58"/>
      <c r="G118" s="58"/>
      <c r="H118" s="58"/>
    </row>
    <row r="119" spans="2:8" x14ac:dyDescent="0.2">
      <c r="B119" s="25"/>
      <c r="C119" s="25"/>
      <c r="D119" s="25"/>
      <c r="E119" s="58"/>
      <c r="F119" s="58"/>
      <c r="G119" s="58"/>
      <c r="H119" s="58"/>
    </row>
    <row r="120" spans="2:8" x14ac:dyDescent="0.2">
      <c r="B120" s="25"/>
      <c r="C120" s="25"/>
      <c r="D120" s="25"/>
      <c r="E120" s="58"/>
      <c r="F120" s="58"/>
      <c r="G120" s="58"/>
      <c r="H120" s="58"/>
    </row>
    <row r="121" spans="2:8" x14ac:dyDescent="0.2">
      <c r="B121" s="25"/>
      <c r="C121" s="25"/>
      <c r="D121" s="25"/>
      <c r="E121" s="58"/>
      <c r="F121" s="58"/>
      <c r="G121" s="58"/>
      <c r="H121" s="58"/>
    </row>
    <row r="122" spans="2:8" x14ac:dyDescent="0.2">
      <c r="B122" s="25"/>
      <c r="C122" s="25"/>
      <c r="D122" s="25"/>
      <c r="E122" s="58"/>
      <c r="F122" s="58"/>
      <c r="G122" s="58"/>
      <c r="H122" s="58"/>
    </row>
    <row r="123" spans="2:8" x14ac:dyDescent="0.2">
      <c r="B123" s="25"/>
      <c r="C123" s="25"/>
      <c r="D123" s="25"/>
      <c r="E123" s="58"/>
      <c r="F123" s="58"/>
      <c r="G123" s="58"/>
      <c r="H123" s="58"/>
    </row>
    <row r="124" spans="2:8" x14ac:dyDescent="0.2">
      <c r="B124" s="25"/>
      <c r="C124" s="25"/>
      <c r="D124" s="25"/>
      <c r="E124" s="58"/>
      <c r="F124" s="58"/>
      <c r="G124" s="58"/>
      <c r="H124" s="58"/>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row r="137" spans="2:2" x14ac:dyDescent="0.2">
      <c r="B137" s="25"/>
    </row>
    <row r="138" spans="2:2" x14ac:dyDescent="0.2">
      <c r="B138" s="25"/>
    </row>
    <row r="139" spans="2:2" x14ac:dyDescent="0.2">
      <c r="B139" s="25"/>
    </row>
    <row r="140" spans="2:2" x14ac:dyDescent="0.2">
      <c r="B140" s="25"/>
    </row>
    <row r="141" spans="2:2" x14ac:dyDescent="0.2">
      <c r="B141" s="25"/>
    </row>
  </sheetData>
  <mergeCells count="7">
    <mergeCell ref="A86:N86"/>
    <mergeCell ref="A87:N87"/>
    <mergeCell ref="K2:K3"/>
    <mergeCell ref="A82:N82"/>
    <mergeCell ref="A83:N83"/>
    <mergeCell ref="A84:N84"/>
    <mergeCell ref="A85:M85"/>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7" fitToHeight="99" pageOrder="overThenDown" orientation="portrait" blackAndWhite="1"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0"/>
  <dimension ref="A1:Q10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208" customWidth="1"/>
    <col min="2" max="2" width="7.28515625" style="1209" customWidth="1"/>
    <col min="3" max="3" width="13.7109375" style="1239" customWidth="1"/>
    <col min="4" max="4" width="3" style="1239" customWidth="1"/>
    <col min="5" max="5" width="13.7109375" style="1227" customWidth="1"/>
    <col min="6" max="6" width="2.85546875" style="1228" customWidth="1"/>
    <col min="7" max="7" width="13.7109375" style="1227" hidden="1" customWidth="1"/>
    <col min="8" max="8" width="3.140625" style="1228" hidden="1" customWidth="1"/>
    <col min="9" max="9" width="13.7109375" style="1227" customWidth="1"/>
    <col min="10" max="10" width="3.140625" style="1228" bestFit="1" customWidth="1"/>
    <col min="11" max="11" width="13.7109375" style="1227" customWidth="1"/>
    <col min="12" max="12" width="3.140625" style="1228"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188" t="s">
        <v>174</v>
      </c>
      <c r="B1" s="1189">
        <v>2019</v>
      </c>
      <c r="C1" s="1190"/>
      <c r="D1" s="1191"/>
      <c r="E1" s="1190"/>
      <c r="F1" s="1191"/>
      <c r="G1" s="1192"/>
      <c r="H1" s="1191"/>
      <c r="I1" s="1192"/>
      <c r="J1" s="1193"/>
      <c r="K1" s="1192"/>
      <c r="L1" s="1193"/>
      <c r="M1" s="5"/>
      <c r="N1" s="6"/>
    </row>
    <row r="2" spans="1:16" s="4" customFormat="1" ht="15.75" x14ac:dyDescent="0.25">
      <c r="A2" s="1188" t="s">
        <v>175</v>
      </c>
      <c r="B2" s="7" t="s">
        <v>176</v>
      </c>
      <c r="C2" s="7" t="s">
        <v>0</v>
      </c>
      <c r="D2" s="1193"/>
      <c r="E2" s="1194"/>
      <c r="F2" s="1195"/>
      <c r="G2" s="1194"/>
      <c r="H2" s="1193"/>
      <c r="I2" s="1194"/>
      <c r="J2" s="1193"/>
      <c r="K2" s="1733" t="s">
        <v>171</v>
      </c>
      <c r="L2" s="1193"/>
      <c r="M2" s="8"/>
      <c r="N2" s="6"/>
    </row>
    <row r="3" spans="1:16" s="4" customFormat="1" ht="15.75" x14ac:dyDescent="0.25">
      <c r="A3" s="1188" t="s">
        <v>177</v>
      </c>
      <c r="B3" s="10" t="s">
        <v>1496</v>
      </c>
      <c r="C3" s="10" t="s">
        <v>1896</v>
      </c>
      <c r="D3" s="1193"/>
      <c r="E3" s="1196"/>
      <c r="F3" s="1195"/>
      <c r="G3" s="1196"/>
      <c r="H3" s="1193"/>
      <c r="I3" s="1196"/>
      <c r="J3" s="1193"/>
      <c r="K3" s="1734"/>
      <c r="L3" s="1193"/>
      <c r="M3" s="11"/>
      <c r="N3" s="6"/>
    </row>
    <row r="4" spans="1:16" s="4" customFormat="1" ht="15.75" x14ac:dyDescent="0.25">
      <c r="A4" s="1188" t="s">
        <v>180</v>
      </c>
      <c r="B4" s="10" t="s">
        <v>1897</v>
      </c>
      <c r="C4" s="10" t="s">
        <v>46</v>
      </c>
      <c r="D4" s="1193"/>
      <c r="E4" s="1196"/>
      <c r="F4" s="1195"/>
      <c r="G4" s="1196"/>
      <c r="H4" s="1193"/>
      <c r="I4" s="1196"/>
      <c r="J4" s="1193"/>
      <c r="K4" s="1196"/>
      <c r="L4" s="1193"/>
      <c r="M4" s="11"/>
      <c r="N4" s="6"/>
    </row>
    <row r="5" spans="1:16" s="4" customFormat="1" ht="15.75" x14ac:dyDescent="0.2">
      <c r="A5" s="1188" t="s">
        <v>183</v>
      </c>
      <c r="B5" s="12" t="s">
        <v>2166</v>
      </c>
      <c r="C5" s="12" t="s">
        <v>57</v>
      </c>
      <c r="D5" s="1197"/>
      <c r="E5" s="1198"/>
      <c r="F5" s="1191"/>
      <c r="G5" s="1198"/>
      <c r="H5" s="1191"/>
      <c r="I5" s="1198"/>
      <c r="J5" s="1191"/>
      <c r="K5" s="1198"/>
      <c r="L5" s="1191"/>
      <c r="M5" s="14"/>
    </row>
    <row r="6" spans="1:16" s="4" customFormat="1" ht="15.75" x14ac:dyDescent="0.25">
      <c r="A6" s="1199" t="s">
        <v>186</v>
      </c>
      <c r="B6" s="1200">
        <v>4</v>
      </c>
      <c r="C6" s="1201"/>
      <c r="D6" s="1202"/>
      <c r="E6" s="1203"/>
      <c r="F6" s="1195"/>
      <c r="G6" s="1194"/>
      <c r="H6" s="1193"/>
      <c r="I6" s="1194"/>
      <c r="J6" s="1193"/>
      <c r="K6" s="1194"/>
      <c r="L6" s="1193"/>
      <c r="M6" s="8"/>
      <c r="N6" s="6"/>
    </row>
    <row r="7" spans="1:16" s="24" customFormat="1" x14ac:dyDescent="0.2">
      <c r="A7" s="1204"/>
      <c r="B7" s="1205"/>
      <c r="C7" s="1206"/>
      <c r="D7" s="1207"/>
      <c r="E7" s="1206"/>
      <c r="F7" s="1207"/>
      <c r="G7" s="1206"/>
      <c r="H7" s="1207"/>
      <c r="I7" s="1206"/>
      <c r="J7" s="1207"/>
      <c r="K7" s="1206" t="s">
        <v>187</v>
      </c>
      <c r="L7" s="1207"/>
      <c r="M7" s="22" t="s">
        <v>187</v>
      </c>
      <c r="N7" s="23"/>
    </row>
    <row r="8" spans="1:16" x14ac:dyDescent="0.2">
      <c r="C8" s="1210" t="s">
        <v>188</v>
      </c>
      <c r="D8" s="1211" t="s">
        <v>189</v>
      </c>
      <c r="E8" s="1210" t="s">
        <v>188</v>
      </c>
      <c r="F8" s="1211" t="s">
        <v>189</v>
      </c>
      <c r="G8" s="1210" t="s">
        <v>190</v>
      </c>
      <c r="H8" s="1211" t="s">
        <v>189</v>
      </c>
      <c r="I8" s="1210" t="s">
        <v>191</v>
      </c>
      <c r="J8" s="1211" t="s">
        <v>189</v>
      </c>
      <c r="K8" s="1210" t="s">
        <v>192</v>
      </c>
      <c r="L8" s="1211" t="s">
        <v>189</v>
      </c>
      <c r="M8" s="27" t="s">
        <v>192</v>
      </c>
      <c r="N8" s="28" t="s">
        <v>189</v>
      </c>
      <c r="O8" s="29"/>
      <c r="P8" s="29"/>
    </row>
    <row r="9" spans="1:16" s="24" customFormat="1" ht="14.25" x14ac:dyDescent="0.2">
      <c r="A9" s="1212"/>
      <c r="B9" s="1213"/>
      <c r="C9" s="1214" t="str">
        <f>"FY " &amp; FiscalYear - 3</f>
        <v>FY 2016</v>
      </c>
      <c r="D9" s="1215" t="s">
        <v>193</v>
      </c>
      <c r="E9" s="1214" t="str">
        <f>"FY " &amp; FiscalYear - 2</f>
        <v>FY 2017</v>
      </c>
      <c r="F9" s="1215" t="s">
        <v>193</v>
      </c>
      <c r="G9" s="1214" t="str">
        <f>"FY " &amp; FiscalYear - 1</f>
        <v>FY 2018</v>
      </c>
      <c r="H9" s="1215" t="s">
        <v>193</v>
      </c>
      <c r="I9" s="1216" t="str">
        <f>"FY " &amp; FiscalYear - 1</f>
        <v>FY 2018</v>
      </c>
      <c r="J9" s="1215" t="s">
        <v>193</v>
      </c>
      <c r="K9" s="1216" t="str">
        <f>"FY " &amp; FiscalYear</f>
        <v>FY 2019</v>
      </c>
      <c r="L9" s="1215" t="s">
        <v>193</v>
      </c>
      <c r="M9" s="1627" t="str">
        <f>"FY " &amp; FiscalYear + 1</f>
        <v>FY 2020</v>
      </c>
      <c r="N9" s="1628" t="s">
        <v>193</v>
      </c>
    </row>
    <row r="10" spans="1:16" s="37" customFormat="1" x14ac:dyDescent="0.2">
      <c r="A10" s="1217" t="s">
        <v>222</v>
      </c>
      <c r="B10" s="222"/>
      <c r="C10" s="402"/>
      <c r="D10" s="402"/>
    </row>
    <row r="11" spans="1:16" s="37" customFormat="1" x14ac:dyDescent="0.2">
      <c r="A11" s="1217" t="s">
        <v>1968</v>
      </c>
      <c r="B11" s="222"/>
      <c r="C11" s="402"/>
      <c r="D11" s="402"/>
    </row>
    <row r="12" spans="1:16" s="40" customFormat="1" x14ac:dyDescent="0.2">
      <c r="A12" s="211" t="s">
        <v>1969</v>
      </c>
      <c r="B12" s="1218"/>
      <c r="C12" s="164">
        <v>13766</v>
      </c>
      <c r="D12" s="111"/>
      <c r="E12" s="164">
        <v>13648</v>
      </c>
      <c r="F12" s="63"/>
      <c r="G12" s="164">
        <v>13766</v>
      </c>
      <c r="H12" s="63"/>
      <c r="I12" s="164">
        <v>13648</v>
      </c>
      <c r="J12" s="63"/>
      <c r="K12" s="76">
        <v>13648</v>
      </c>
      <c r="M12" s="1629"/>
      <c r="O12" s="110"/>
    </row>
    <row r="13" spans="1:16" s="40" customFormat="1" x14ac:dyDescent="0.2">
      <c r="A13" s="211" t="s">
        <v>1970</v>
      </c>
      <c r="B13" s="1218"/>
      <c r="C13" s="164">
        <v>10605</v>
      </c>
      <c r="D13" s="111"/>
      <c r="E13" s="164">
        <v>10644</v>
      </c>
      <c r="F13" s="63"/>
      <c r="G13" s="164">
        <v>10605</v>
      </c>
      <c r="H13" s="63"/>
      <c r="I13" s="164">
        <v>10644</v>
      </c>
      <c r="J13" s="63"/>
      <c r="K13" s="76">
        <v>10644</v>
      </c>
      <c r="M13" s="1629"/>
    </row>
    <row r="14" spans="1:16" s="40" customFormat="1" x14ac:dyDescent="0.2">
      <c r="A14" s="144" t="s">
        <v>1971</v>
      </c>
      <c r="B14" s="1218"/>
      <c r="C14" s="164">
        <v>11485</v>
      </c>
      <c r="D14" s="111"/>
      <c r="E14" s="164">
        <v>11425</v>
      </c>
      <c r="F14" s="63"/>
      <c r="G14" s="164">
        <v>11485</v>
      </c>
      <c r="H14" s="63"/>
      <c r="I14" s="164">
        <v>11425</v>
      </c>
      <c r="J14" s="63"/>
      <c r="K14" s="76">
        <v>11425</v>
      </c>
      <c r="M14" s="1630"/>
    </row>
    <row r="15" spans="1:16" s="40" customFormat="1" x14ac:dyDescent="0.2">
      <c r="A15" s="1058" t="s">
        <v>1972</v>
      </c>
      <c r="B15" s="1219"/>
      <c r="C15" s="164">
        <v>9267</v>
      </c>
      <c r="D15" s="111"/>
      <c r="E15" s="164">
        <v>9290</v>
      </c>
      <c r="F15" s="63"/>
      <c r="G15" s="164">
        <v>9267</v>
      </c>
      <c r="H15" s="63"/>
      <c r="I15" s="164">
        <v>9290</v>
      </c>
      <c r="J15" s="63"/>
      <c r="K15" s="76">
        <v>9290</v>
      </c>
      <c r="M15" s="1630"/>
    </row>
    <row r="16" spans="1:16" s="40" customFormat="1" x14ac:dyDescent="0.2">
      <c r="A16" s="1220" t="s">
        <v>1973</v>
      </c>
      <c r="B16" s="1219"/>
      <c r="C16" s="164">
        <v>8857</v>
      </c>
      <c r="D16" s="111"/>
      <c r="E16" s="164">
        <v>8854</v>
      </c>
      <c r="F16" s="63"/>
      <c r="G16" s="164">
        <v>8857</v>
      </c>
      <c r="H16" s="63"/>
      <c r="I16" s="164">
        <v>8854</v>
      </c>
      <c r="J16" s="63"/>
      <c r="K16" s="76">
        <v>8854</v>
      </c>
      <c r="M16" s="1630"/>
    </row>
    <row r="17" spans="1:14" s="40" customFormat="1" x14ac:dyDescent="0.2">
      <c r="A17" s="1220" t="s">
        <v>1974</v>
      </c>
      <c r="B17" s="1219"/>
      <c r="C17" s="164">
        <v>8172</v>
      </c>
      <c r="D17" s="111"/>
      <c r="E17" s="164">
        <v>8203</v>
      </c>
      <c r="F17" s="63"/>
      <c r="G17" s="164">
        <v>8172</v>
      </c>
      <c r="H17" s="63"/>
      <c r="I17" s="164">
        <v>8203</v>
      </c>
      <c r="J17" s="63"/>
      <c r="K17" s="76">
        <v>8203</v>
      </c>
      <c r="M17" s="1629"/>
      <c r="N17" s="118"/>
    </row>
    <row r="18" spans="1:14" s="40" customFormat="1" x14ac:dyDescent="0.2">
      <c r="A18" s="1220" t="s">
        <v>1975</v>
      </c>
      <c r="B18" s="1219"/>
      <c r="C18" s="164">
        <v>2628</v>
      </c>
      <c r="D18" s="111"/>
      <c r="E18" s="164">
        <v>2571</v>
      </c>
      <c r="F18" s="63"/>
      <c r="G18" s="164">
        <v>2628</v>
      </c>
      <c r="H18" s="63"/>
      <c r="I18" s="164">
        <v>2571</v>
      </c>
      <c r="J18" s="63"/>
      <c r="K18" s="76">
        <v>2571</v>
      </c>
      <c r="M18" s="1629"/>
      <c r="N18" s="118"/>
    </row>
    <row r="19" spans="1:14" s="40" customFormat="1" x14ac:dyDescent="0.2">
      <c r="A19" s="1220" t="s">
        <v>1976</v>
      </c>
      <c r="B19" s="1219"/>
      <c r="C19" s="164">
        <v>1095</v>
      </c>
      <c r="D19" s="111"/>
      <c r="E19" s="164">
        <v>1087</v>
      </c>
      <c r="F19" s="63"/>
      <c r="G19" s="164">
        <v>1095</v>
      </c>
      <c r="H19" s="63"/>
      <c r="I19" s="164">
        <v>1087</v>
      </c>
      <c r="J19" s="63"/>
      <c r="K19" s="76">
        <v>1087</v>
      </c>
      <c r="M19" s="1629"/>
      <c r="N19" s="118"/>
    </row>
    <row r="20" spans="1:14" s="40" customFormat="1" x14ac:dyDescent="0.2">
      <c r="A20" s="1058" t="s">
        <v>1977</v>
      </c>
      <c r="B20" s="1219"/>
      <c r="C20" s="164">
        <v>2281</v>
      </c>
      <c r="D20" s="111"/>
      <c r="E20" s="164">
        <v>2223</v>
      </c>
      <c r="F20" s="63"/>
      <c r="G20" s="164">
        <v>2281</v>
      </c>
      <c r="H20" s="63"/>
      <c r="I20" s="164">
        <v>2223</v>
      </c>
      <c r="J20" s="63"/>
      <c r="K20" s="76">
        <v>2223</v>
      </c>
      <c r="M20" s="1629"/>
      <c r="N20" s="118"/>
    </row>
    <row r="21" spans="1:14" s="40" customFormat="1" x14ac:dyDescent="0.2">
      <c r="A21" s="1058" t="s">
        <v>1978</v>
      </c>
      <c r="B21" s="1219"/>
      <c r="C21" s="164">
        <v>1338</v>
      </c>
      <c r="D21" s="111"/>
      <c r="E21" s="164">
        <v>1354</v>
      </c>
      <c r="F21" s="63"/>
      <c r="G21" s="164">
        <v>1338</v>
      </c>
      <c r="H21" s="63"/>
      <c r="I21" s="164">
        <v>1354</v>
      </c>
      <c r="J21" s="63"/>
      <c r="K21" s="76">
        <v>1354</v>
      </c>
      <c r="M21" s="1629"/>
      <c r="N21" s="118"/>
    </row>
    <row r="22" spans="1:14" s="40" customFormat="1" x14ac:dyDescent="0.2">
      <c r="A22" s="1220" t="s">
        <v>1973</v>
      </c>
      <c r="B22" s="1219"/>
      <c r="C22" s="164">
        <v>833</v>
      </c>
      <c r="D22" s="111"/>
      <c r="E22" s="164">
        <v>897</v>
      </c>
      <c r="F22" s="63"/>
      <c r="G22" s="164">
        <v>833</v>
      </c>
      <c r="H22" s="63"/>
      <c r="I22" s="164">
        <v>897</v>
      </c>
      <c r="J22" s="63"/>
      <c r="K22" s="76">
        <v>897</v>
      </c>
      <c r="M22" s="1629"/>
      <c r="N22" s="118"/>
    </row>
    <row r="23" spans="1:14" s="40" customFormat="1" x14ac:dyDescent="0.2">
      <c r="A23" s="1220" t="s">
        <v>1974</v>
      </c>
      <c r="B23" s="1219"/>
      <c r="C23" s="164">
        <v>792</v>
      </c>
      <c r="D23" s="111"/>
      <c r="E23" s="164">
        <v>852</v>
      </c>
      <c r="F23" s="63"/>
      <c r="G23" s="164">
        <v>792</v>
      </c>
      <c r="H23" s="63"/>
      <c r="I23" s="164">
        <v>852</v>
      </c>
      <c r="J23" s="63"/>
      <c r="K23" s="76">
        <v>852</v>
      </c>
      <c r="M23" s="1629"/>
      <c r="N23" s="118"/>
    </row>
    <row r="24" spans="1:14" s="40" customFormat="1" x14ac:dyDescent="0.2">
      <c r="A24" s="1220" t="s">
        <v>1975</v>
      </c>
      <c r="B24" s="1219"/>
      <c r="C24" s="164">
        <v>1448</v>
      </c>
      <c r="D24" s="111"/>
      <c r="E24" s="164">
        <v>1326</v>
      </c>
      <c r="F24" s="63"/>
      <c r="G24" s="164">
        <v>1448</v>
      </c>
      <c r="H24" s="63"/>
      <c r="I24" s="164">
        <v>1326</v>
      </c>
      <c r="J24" s="63"/>
      <c r="K24" s="76">
        <v>1326</v>
      </c>
      <c r="M24" s="1629"/>
      <c r="N24" s="118"/>
    </row>
    <row r="25" spans="1:14" s="40" customFormat="1" x14ac:dyDescent="0.2">
      <c r="A25" s="1220" t="s">
        <v>1976</v>
      </c>
      <c r="B25" s="1219"/>
      <c r="C25" s="164">
        <v>546</v>
      </c>
      <c r="D25" s="111"/>
      <c r="E25" s="164">
        <v>502</v>
      </c>
      <c r="F25" s="63"/>
      <c r="G25" s="164">
        <v>546</v>
      </c>
      <c r="H25" s="63"/>
      <c r="I25" s="164">
        <v>502</v>
      </c>
      <c r="J25" s="63"/>
      <c r="K25" s="76">
        <v>502</v>
      </c>
      <c r="M25" s="1629"/>
      <c r="N25" s="118"/>
    </row>
    <row r="26" spans="1:14" s="40" customFormat="1" x14ac:dyDescent="0.2">
      <c r="A26" s="1221" t="s">
        <v>1981</v>
      </c>
      <c r="B26" s="1219"/>
      <c r="C26" s="164">
        <v>86</v>
      </c>
      <c r="D26" s="111"/>
      <c r="E26" s="164">
        <v>88</v>
      </c>
      <c r="F26" s="63"/>
      <c r="G26" s="164">
        <v>86</v>
      </c>
      <c r="H26" s="63"/>
      <c r="I26" s="164">
        <v>88</v>
      </c>
      <c r="J26" s="63"/>
      <c r="K26" s="76">
        <v>88</v>
      </c>
      <c r="M26" s="1629"/>
      <c r="N26" s="118"/>
    </row>
    <row r="27" spans="1:14" s="40" customFormat="1" x14ac:dyDescent="0.2">
      <c r="A27" s="1221" t="s">
        <v>1982</v>
      </c>
      <c r="B27" s="1219"/>
      <c r="C27" s="164">
        <v>2887</v>
      </c>
      <c r="D27" s="111"/>
      <c r="E27" s="164">
        <v>2961</v>
      </c>
      <c r="F27" s="63"/>
      <c r="G27" s="164">
        <v>2887</v>
      </c>
      <c r="H27" s="63"/>
      <c r="I27" s="164">
        <v>2961</v>
      </c>
      <c r="J27" s="63"/>
      <c r="K27" s="76">
        <v>2961</v>
      </c>
      <c r="M27" s="1630"/>
    </row>
    <row r="28" spans="1:14" s="40" customFormat="1" x14ac:dyDescent="0.2">
      <c r="A28" s="1221" t="s">
        <v>1983</v>
      </c>
      <c r="B28" s="1219"/>
      <c r="C28" s="111"/>
      <c r="D28" s="111"/>
      <c r="E28" s="63"/>
      <c r="F28" s="63"/>
      <c r="G28" s="63"/>
      <c r="H28" s="63"/>
      <c r="I28" s="63"/>
      <c r="J28" s="63"/>
      <c r="K28" s="63"/>
    </row>
    <row r="29" spans="1:14" s="40" customFormat="1" x14ac:dyDescent="0.2">
      <c r="A29" s="1058" t="s">
        <v>1984</v>
      </c>
      <c r="B29" s="1219"/>
      <c r="C29" s="164">
        <v>2550</v>
      </c>
      <c r="D29" s="111"/>
      <c r="E29" s="164">
        <v>2624</v>
      </c>
      <c r="F29" s="63"/>
      <c r="G29" s="164">
        <v>2550</v>
      </c>
      <c r="H29" s="63"/>
      <c r="I29" s="164">
        <v>2624</v>
      </c>
      <c r="J29" s="63"/>
      <c r="K29" s="76">
        <v>2624</v>
      </c>
      <c r="M29" s="1630"/>
    </row>
    <row r="30" spans="1:14" s="40" customFormat="1" x14ac:dyDescent="0.2">
      <c r="A30" s="1058" t="s">
        <v>1985</v>
      </c>
      <c r="B30" s="1219"/>
      <c r="C30" s="164">
        <v>644</v>
      </c>
      <c r="D30" s="111"/>
      <c r="E30" s="164">
        <v>613</v>
      </c>
      <c r="F30" s="63"/>
      <c r="G30" s="164">
        <v>644</v>
      </c>
      <c r="H30" s="63"/>
      <c r="I30" s="164">
        <v>613</v>
      </c>
      <c r="J30" s="63"/>
      <c r="K30" s="76">
        <v>613</v>
      </c>
      <c r="M30" s="1630"/>
    </row>
    <row r="31" spans="1:14" s="40" customFormat="1" x14ac:dyDescent="0.2">
      <c r="A31" s="1058" t="s">
        <v>2167</v>
      </c>
      <c r="B31" s="1219"/>
      <c r="C31" s="164">
        <v>20</v>
      </c>
      <c r="D31" s="111"/>
      <c r="E31" s="164">
        <v>17</v>
      </c>
      <c r="F31" s="63"/>
      <c r="G31" s="164">
        <v>20</v>
      </c>
      <c r="H31" s="63"/>
      <c r="I31" s="164">
        <v>17</v>
      </c>
      <c r="J31" s="63"/>
      <c r="K31" s="76">
        <v>17</v>
      </c>
      <c r="M31" s="1630"/>
    </row>
    <row r="32" spans="1:14" s="40" customFormat="1" x14ac:dyDescent="0.2">
      <c r="A32" s="1221" t="s">
        <v>2146</v>
      </c>
      <c r="B32" s="1219"/>
      <c r="C32" s="1222" t="s">
        <v>2093</v>
      </c>
      <c r="D32" s="111"/>
      <c r="E32" s="1222" t="s">
        <v>2047</v>
      </c>
      <c r="F32" s="63"/>
      <c r="G32" s="1222" t="s">
        <v>2093</v>
      </c>
      <c r="H32" s="63"/>
      <c r="I32" s="1222" t="s">
        <v>2047</v>
      </c>
      <c r="J32" s="63"/>
      <c r="K32" s="1077" t="s">
        <v>2047</v>
      </c>
      <c r="M32" s="1631"/>
    </row>
    <row r="33" spans="1:13" s="40" customFormat="1" x14ac:dyDescent="0.2">
      <c r="A33" s="1221" t="s">
        <v>2019</v>
      </c>
      <c r="B33" s="1219"/>
      <c r="C33" s="111"/>
      <c r="D33" s="111"/>
      <c r="E33" s="63"/>
      <c r="F33" s="63"/>
      <c r="G33" s="63"/>
      <c r="H33" s="63"/>
      <c r="I33" s="63"/>
      <c r="J33" s="63"/>
      <c r="K33" s="63"/>
    </row>
    <row r="34" spans="1:13" s="40" customFormat="1" x14ac:dyDescent="0.2">
      <c r="A34" s="1223" t="s">
        <v>2084</v>
      </c>
      <c r="B34" s="1219"/>
      <c r="C34" s="164">
        <v>2550</v>
      </c>
      <c r="D34" s="111"/>
      <c r="E34" s="164">
        <v>2327</v>
      </c>
      <c r="F34" s="63"/>
      <c r="G34" s="164">
        <v>2549</v>
      </c>
      <c r="H34" s="63"/>
      <c r="I34" s="164">
        <v>2327</v>
      </c>
      <c r="J34" s="63"/>
      <c r="K34" s="76">
        <v>2327</v>
      </c>
      <c r="M34" s="1629"/>
    </row>
    <row r="35" spans="1:13" s="40" customFormat="1" x14ac:dyDescent="0.2">
      <c r="A35" s="1223" t="s">
        <v>2128</v>
      </c>
      <c r="B35" s="1219"/>
      <c r="C35" s="164">
        <v>681</v>
      </c>
      <c r="D35" s="111"/>
      <c r="E35" s="164">
        <v>627</v>
      </c>
      <c r="F35" s="63"/>
      <c r="G35" s="164">
        <v>681</v>
      </c>
      <c r="H35" s="63"/>
      <c r="I35" s="164">
        <v>627</v>
      </c>
      <c r="J35" s="63"/>
      <c r="K35" s="76">
        <v>627</v>
      </c>
      <c r="M35" s="1629"/>
    </row>
    <row r="36" spans="1:13" s="40" customFormat="1" x14ac:dyDescent="0.2">
      <c r="A36" s="1220" t="s">
        <v>2129</v>
      </c>
      <c r="B36" s="1219"/>
      <c r="C36" s="164">
        <v>1916</v>
      </c>
      <c r="D36" s="111"/>
      <c r="E36" s="164">
        <v>1734</v>
      </c>
      <c r="F36" s="63"/>
      <c r="G36" s="164">
        <v>1916</v>
      </c>
      <c r="H36" s="63"/>
      <c r="I36" s="164">
        <v>1734</v>
      </c>
      <c r="J36" s="63"/>
      <c r="K36" s="76">
        <v>1734</v>
      </c>
      <c r="M36" s="1629"/>
    </row>
    <row r="37" spans="1:13" s="40" customFormat="1" x14ac:dyDescent="0.2">
      <c r="A37" s="1220" t="s">
        <v>2130</v>
      </c>
      <c r="B37" s="1219"/>
      <c r="C37" s="164">
        <v>464</v>
      </c>
      <c r="D37" s="111"/>
      <c r="E37" s="164">
        <v>422</v>
      </c>
      <c r="F37" s="63"/>
      <c r="G37" s="164">
        <v>464</v>
      </c>
      <c r="H37" s="63"/>
      <c r="I37" s="164">
        <v>422</v>
      </c>
      <c r="J37" s="63"/>
      <c r="K37" s="76">
        <v>422</v>
      </c>
      <c r="M37" s="1629"/>
    </row>
    <row r="38" spans="1:13" s="40" customFormat="1" x14ac:dyDescent="0.2">
      <c r="A38" s="1220" t="s">
        <v>2131</v>
      </c>
      <c r="B38" s="1219"/>
      <c r="C38" s="164">
        <v>634</v>
      </c>
      <c r="D38" s="111"/>
      <c r="E38" s="164">
        <v>593</v>
      </c>
      <c r="F38" s="63"/>
      <c r="G38" s="164">
        <v>634</v>
      </c>
      <c r="H38" s="63"/>
      <c r="I38" s="164">
        <v>593</v>
      </c>
      <c r="J38" s="63"/>
      <c r="K38" s="76">
        <v>593</v>
      </c>
      <c r="M38" s="1629"/>
    </row>
    <row r="39" spans="1:13" s="40" customFormat="1" x14ac:dyDescent="0.2">
      <c r="A39" s="1220" t="s">
        <v>2132</v>
      </c>
      <c r="B39" s="1219"/>
      <c r="C39" s="164">
        <v>217</v>
      </c>
      <c r="D39" s="111"/>
      <c r="E39" s="164">
        <v>205</v>
      </c>
      <c r="F39" s="63"/>
      <c r="G39" s="164">
        <v>217</v>
      </c>
      <c r="H39" s="63"/>
      <c r="I39" s="164">
        <v>205</v>
      </c>
      <c r="J39" s="63"/>
      <c r="K39" s="76">
        <v>205</v>
      </c>
      <c r="M39" s="1629"/>
    </row>
    <row r="40" spans="1:13" s="40" customFormat="1" x14ac:dyDescent="0.2">
      <c r="A40" s="150" t="s">
        <v>2133</v>
      </c>
      <c r="B40" s="1218"/>
      <c r="C40" s="126">
        <f>3574543+1021841</f>
        <v>4596384</v>
      </c>
      <c r="D40" s="1632"/>
      <c r="E40" s="97">
        <v>4402442</v>
      </c>
      <c r="F40" s="1609"/>
      <c r="G40" s="97">
        <f>3574543+1021841</f>
        <v>4596384</v>
      </c>
      <c r="H40" s="63"/>
      <c r="I40" s="97">
        <v>4402442</v>
      </c>
      <c r="J40" s="63"/>
      <c r="K40" s="97">
        <v>4402442</v>
      </c>
      <c r="M40" s="1633"/>
    </row>
    <row r="41" spans="1:13" s="40" customFormat="1" ht="25.5" x14ac:dyDescent="0.2">
      <c r="A41" s="145" t="s">
        <v>1993</v>
      </c>
      <c r="B41" s="145"/>
      <c r="C41" s="112">
        <v>665</v>
      </c>
      <c r="D41" s="111"/>
      <c r="E41" s="76">
        <v>677</v>
      </c>
      <c r="F41" s="63"/>
      <c r="G41" s="76"/>
      <c r="H41" s="63"/>
      <c r="I41" s="76">
        <v>744</v>
      </c>
      <c r="J41" s="63"/>
      <c r="K41" s="76"/>
      <c r="M41" s="77"/>
    </row>
    <row r="42" spans="1:13" s="40" customFormat="1" x14ac:dyDescent="0.2">
      <c r="A42" s="144" t="s">
        <v>1994</v>
      </c>
      <c r="B42" s="145"/>
      <c r="C42" s="1013">
        <v>514</v>
      </c>
      <c r="D42" s="111"/>
      <c r="E42" s="577">
        <v>503</v>
      </c>
      <c r="F42" s="63"/>
      <c r="G42" s="577"/>
      <c r="H42" s="63"/>
      <c r="I42" s="577">
        <v>520</v>
      </c>
      <c r="J42" s="63"/>
      <c r="K42" s="577"/>
      <c r="M42" s="463"/>
    </row>
    <row r="43" spans="1:13" s="40" customFormat="1" x14ac:dyDescent="0.2">
      <c r="A43" s="144" t="s">
        <v>1998</v>
      </c>
      <c r="B43" s="145"/>
      <c r="C43" s="1013">
        <v>485</v>
      </c>
      <c r="D43" s="111"/>
      <c r="E43" s="577">
        <v>485</v>
      </c>
      <c r="F43" s="63"/>
      <c r="G43" s="577"/>
      <c r="H43" s="63"/>
      <c r="I43" s="577">
        <v>525</v>
      </c>
      <c r="J43" s="63"/>
      <c r="K43" s="577"/>
      <c r="M43" s="463"/>
    </row>
    <row r="44" spans="1:13" s="40" customFormat="1" x14ac:dyDescent="0.2">
      <c r="A44" s="144" t="s">
        <v>2003</v>
      </c>
      <c r="B44" s="145"/>
      <c r="C44" s="670">
        <f>SUM(C42:C43)</f>
        <v>999</v>
      </c>
      <c r="D44" s="111"/>
      <c r="E44" s="71">
        <f>SUM(E42:E43)</f>
        <v>988</v>
      </c>
      <c r="F44" s="71"/>
      <c r="G44" s="71">
        <f>SUM(G42:G43)</f>
        <v>0</v>
      </c>
      <c r="H44" s="71">
        <f>SUM(H42:H43)</f>
        <v>0</v>
      </c>
      <c r="I44" s="71">
        <f>SUM(I42:I43)</f>
        <v>1045</v>
      </c>
      <c r="J44" s="63"/>
      <c r="K44" s="71"/>
      <c r="M44" s="70"/>
    </row>
    <row r="45" spans="1:13" s="40" customFormat="1" x14ac:dyDescent="0.2">
      <c r="A45" s="1224" t="s">
        <v>2156</v>
      </c>
      <c r="B45" s="1218"/>
      <c r="C45" s="111"/>
      <c r="D45" s="111"/>
      <c r="E45" s="63"/>
      <c r="F45" s="63"/>
      <c r="G45" s="63"/>
      <c r="H45" s="63"/>
      <c r="I45" s="63"/>
      <c r="J45" s="63"/>
      <c r="K45" s="63"/>
    </row>
    <row r="46" spans="1:13" s="40" customFormat="1" x14ac:dyDescent="0.2">
      <c r="A46" s="144" t="s">
        <v>2005</v>
      </c>
      <c r="B46" s="1218"/>
      <c r="C46" s="391">
        <v>0.72799999999999998</v>
      </c>
      <c r="D46" s="111"/>
      <c r="E46" s="100">
        <v>0.76300000000000001</v>
      </c>
      <c r="F46" s="63"/>
      <c r="G46" s="100"/>
      <c r="H46" s="63"/>
      <c r="I46" s="100"/>
      <c r="J46" s="63"/>
      <c r="K46" s="100"/>
      <c r="M46" s="101"/>
    </row>
    <row r="47" spans="1:13" s="40" customFormat="1" x14ac:dyDescent="0.2">
      <c r="A47" s="144" t="s">
        <v>2006</v>
      </c>
      <c r="B47" s="1218"/>
      <c r="C47" s="391">
        <v>0.48199999999999998</v>
      </c>
      <c r="D47" s="111"/>
      <c r="E47" s="100">
        <v>0.47199999999999998</v>
      </c>
      <c r="F47" s="63"/>
      <c r="G47" s="100"/>
      <c r="H47" s="63"/>
      <c r="I47" s="100"/>
      <c r="J47" s="63"/>
      <c r="K47" s="100"/>
      <c r="M47" s="101"/>
    </row>
    <row r="48" spans="1:13" s="40" customFormat="1" x14ac:dyDescent="0.2">
      <c r="A48" s="1224" t="s">
        <v>2007</v>
      </c>
      <c r="B48" s="1218"/>
      <c r="C48" s="111"/>
      <c r="D48" s="111"/>
      <c r="E48" s="63"/>
      <c r="F48" s="63"/>
      <c r="G48" s="63"/>
      <c r="H48" s="63"/>
      <c r="I48" s="63"/>
      <c r="J48" s="63"/>
      <c r="K48" s="63"/>
    </row>
    <row r="49" spans="1:13" s="40" customFormat="1" x14ac:dyDescent="0.2">
      <c r="A49" s="1225" t="s">
        <v>2157</v>
      </c>
      <c r="B49" s="1218"/>
      <c r="C49" s="126">
        <v>28560.5</v>
      </c>
      <c r="D49" s="1632"/>
      <c r="E49" s="126">
        <v>28937</v>
      </c>
      <c r="F49" s="63"/>
      <c r="G49" s="97"/>
      <c r="H49" s="63"/>
      <c r="I49" s="97">
        <v>29261</v>
      </c>
      <c r="J49" s="63"/>
      <c r="K49" s="97"/>
      <c r="M49" s="98"/>
    </row>
    <row r="50" spans="1:13" s="40" customFormat="1" x14ac:dyDescent="0.2">
      <c r="A50" s="1225" t="s">
        <v>2009</v>
      </c>
      <c r="B50" s="1218"/>
      <c r="C50" s="126">
        <v>7565</v>
      </c>
      <c r="D50" s="1632"/>
      <c r="E50" s="126">
        <v>7754</v>
      </c>
      <c r="F50" s="63"/>
      <c r="G50" s="97"/>
      <c r="H50" s="63"/>
      <c r="I50" s="97">
        <v>7909</v>
      </c>
      <c r="J50" s="63"/>
      <c r="K50" s="97"/>
      <c r="M50" s="98"/>
    </row>
    <row r="51" spans="1:13" s="40" customFormat="1" x14ac:dyDescent="0.2">
      <c r="A51" s="1225" t="s">
        <v>2010</v>
      </c>
      <c r="B51" s="1218"/>
      <c r="C51" s="126">
        <v>14167</v>
      </c>
      <c r="D51" s="1632"/>
      <c r="E51" s="126">
        <v>14521</v>
      </c>
      <c r="F51" s="63"/>
      <c r="G51" s="97"/>
      <c r="H51" s="63"/>
      <c r="I51" s="97">
        <v>14811</v>
      </c>
      <c r="J51" s="63"/>
      <c r="K51" s="97"/>
      <c r="M51" s="98"/>
    </row>
    <row r="52" spans="1:13" s="40" customFormat="1" x14ac:dyDescent="0.2">
      <c r="A52" s="1225" t="s">
        <v>2011</v>
      </c>
      <c r="B52" s="1218"/>
      <c r="C52" s="126">
        <v>4015.5</v>
      </c>
      <c r="D52" s="1632"/>
      <c r="E52" s="126">
        <v>4115.5</v>
      </c>
      <c r="F52" s="63"/>
      <c r="G52" s="97"/>
      <c r="H52" s="63"/>
      <c r="I52" s="97">
        <v>4198</v>
      </c>
      <c r="J52" s="63"/>
      <c r="K52" s="97"/>
      <c r="M52" s="98"/>
    </row>
    <row r="53" spans="1:13" s="40" customFormat="1" x14ac:dyDescent="0.2">
      <c r="A53" s="1226"/>
      <c r="B53" s="1218"/>
      <c r="C53" s="111"/>
      <c r="D53" s="111"/>
      <c r="E53" s="63"/>
      <c r="F53" s="63"/>
      <c r="G53" s="63"/>
      <c r="H53" s="63"/>
      <c r="I53" s="63"/>
      <c r="J53" s="63"/>
      <c r="K53" s="63"/>
    </row>
    <row r="54" spans="1:13" s="37" customFormat="1" x14ac:dyDescent="0.2">
      <c r="A54" s="1217" t="s">
        <v>517</v>
      </c>
      <c r="B54" s="222"/>
      <c r="C54" s="402"/>
      <c r="D54" s="402"/>
      <c r="E54" s="87"/>
      <c r="F54" s="87"/>
      <c r="G54" s="87"/>
      <c r="H54" s="87"/>
      <c r="I54" s="87"/>
      <c r="J54" s="87"/>
      <c r="K54" s="87"/>
    </row>
    <row r="55" spans="1:13" s="37" customFormat="1" x14ac:dyDescent="0.2">
      <c r="A55" s="1217" t="s">
        <v>1968</v>
      </c>
      <c r="B55" s="222"/>
      <c r="C55" s="402"/>
      <c r="D55" s="402"/>
      <c r="E55" s="87"/>
      <c r="F55" s="87"/>
      <c r="G55" s="87"/>
      <c r="H55" s="87"/>
      <c r="I55" s="87"/>
      <c r="J55" s="87"/>
      <c r="K55" s="87"/>
    </row>
    <row r="56" spans="1:13" s="40" customFormat="1" x14ac:dyDescent="0.2">
      <c r="A56" s="1224" t="s">
        <v>2097</v>
      </c>
      <c r="B56" s="1218"/>
      <c r="C56" s="111"/>
      <c r="D56" s="111"/>
      <c r="E56" s="63"/>
      <c r="F56" s="63"/>
      <c r="G56" s="63"/>
      <c r="H56" s="63"/>
      <c r="I56" s="63"/>
      <c r="J56" s="63"/>
      <c r="K56" s="63"/>
    </row>
    <row r="57" spans="1:13" s="40" customFormat="1" x14ac:dyDescent="0.2">
      <c r="A57" s="1225" t="s">
        <v>1298</v>
      </c>
      <c r="B57" s="1218"/>
      <c r="C57" s="126">
        <v>86915000</v>
      </c>
      <c r="D57" s="1632"/>
      <c r="E57" s="126">
        <v>93166000</v>
      </c>
      <c r="F57" s="63"/>
      <c r="G57" s="97"/>
      <c r="H57" s="63"/>
      <c r="I57" s="97">
        <v>93166000</v>
      </c>
      <c r="J57" s="63"/>
      <c r="K57" s="97"/>
      <c r="M57" s="98"/>
    </row>
    <row r="58" spans="1:13" s="40" customFormat="1" x14ac:dyDescent="0.2">
      <c r="A58" s="1225" t="s">
        <v>2098</v>
      </c>
      <c r="B58" s="1218"/>
      <c r="C58" s="126">
        <v>1162000</v>
      </c>
      <c r="D58" s="1632"/>
      <c r="E58" s="126">
        <v>1182000</v>
      </c>
      <c r="F58" s="63"/>
      <c r="G58" s="97"/>
      <c r="H58" s="63"/>
      <c r="I58" s="97">
        <v>1182000</v>
      </c>
      <c r="J58" s="63"/>
      <c r="K58" s="97"/>
      <c r="M58" s="98"/>
    </row>
    <row r="59" spans="1:13" s="40" customFormat="1" x14ac:dyDescent="0.2">
      <c r="A59" s="1225" t="s">
        <v>2019</v>
      </c>
      <c r="B59" s="1218"/>
      <c r="C59" s="126">
        <v>3650000</v>
      </c>
      <c r="D59" s="1632"/>
      <c r="E59" s="126">
        <v>3829000</v>
      </c>
      <c r="F59" s="63"/>
      <c r="G59" s="97"/>
      <c r="H59" s="63"/>
      <c r="I59" s="97">
        <v>3829000</v>
      </c>
      <c r="J59" s="63"/>
      <c r="K59" s="97"/>
      <c r="M59" s="98"/>
    </row>
    <row r="60" spans="1:13" s="40" customFormat="1" x14ac:dyDescent="0.2">
      <c r="A60" s="1225" t="s">
        <v>2020</v>
      </c>
      <c r="B60" s="1218"/>
      <c r="C60" s="126">
        <v>5036000</v>
      </c>
      <c r="D60" s="1632"/>
      <c r="E60" s="126">
        <v>5300000</v>
      </c>
      <c r="F60" s="63"/>
      <c r="G60" s="97"/>
      <c r="H60" s="63"/>
      <c r="I60" s="97">
        <v>5300000</v>
      </c>
      <c r="J60" s="63"/>
      <c r="K60" s="97"/>
      <c r="M60" s="98"/>
    </row>
    <row r="61" spans="1:13" s="40" customFormat="1" x14ac:dyDescent="0.2">
      <c r="A61" s="1225" t="s">
        <v>2021</v>
      </c>
      <c r="B61" s="1218"/>
      <c r="C61" s="126">
        <v>22480000</v>
      </c>
      <c r="D61" s="1632"/>
      <c r="E61" s="126">
        <v>23536000</v>
      </c>
      <c r="F61" s="63"/>
      <c r="G61" s="97"/>
      <c r="H61" s="63"/>
      <c r="I61" s="97">
        <v>23536000</v>
      </c>
      <c r="J61" s="63"/>
      <c r="K61" s="97"/>
      <c r="M61" s="98"/>
    </row>
    <row r="62" spans="1:13" s="40" customFormat="1" x14ac:dyDescent="0.2">
      <c r="A62" s="1225" t="s">
        <v>2022</v>
      </c>
      <c r="B62" s="1218"/>
      <c r="C62" s="126">
        <v>38531000</v>
      </c>
      <c r="D62" s="1632"/>
      <c r="E62" s="126">
        <v>40068000</v>
      </c>
      <c r="F62" s="63"/>
      <c r="G62" s="97"/>
      <c r="H62" s="63"/>
      <c r="I62" s="97">
        <v>40068000</v>
      </c>
      <c r="J62" s="63"/>
      <c r="K62" s="97"/>
      <c r="M62" s="98"/>
    </row>
    <row r="63" spans="1:13" s="40" customFormat="1" x14ac:dyDescent="0.2">
      <c r="A63" s="1225" t="s">
        <v>2023</v>
      </c>
      <c r="B63" s="1218"/>
      <c r="C63" s="126">
        <v>27691000</v>
      </c>
      <c r="D63" s="1632"/>
      <c r="E63" s="126">
        <v>28651000</v>
      </c>
      <c r="F63" s="63"/>
      <c r="G63" s="97"/>
      <c r="H63" s="63"/>
      <c r="I63" s="97">
        <v>28651000</v>
      </c>
      <c r="J63" s="63"/>
      <c r="K63" s="97"/>
      <c r="M63" s="98"/>
    </row>
    <row r="64" spans="1:13" s="40" customFormat="1" x14ac:dyDescent="0.2">
      <c r="A64" s="1225" t="s">
        <v>2168</v>
      </c>
      <c r="B64" s="1218"/>
      <c r="C64" s="126">
        <v>2825000</v>
      </c>
      <c r="D64" s="1632"/>
      <c r="E64" s="126">
        <v>3829000</v>
      </c>
      <c r="F64" s="63"/>
      <c r="G64" s="97"/>
      <c r="H64" s="63"/>
      <c r="I64" s="97">
        <v>3829000</v>
      </c>
      <c r="J64" s="63"/>
      <c r="K64" s="97"/>
      <c r="M64" s="98"/>
    </row>
    <row r="65" spans="1:17" s="40" customFormat="1" x14ac:dyDescent="0.2">
      <c r="A65" s="1226"/>
      <c r="B65" s="1218"/>
      <c r="C65" s="111"/>
      <c r="D65" s="111"/>
      <c r="E65" s="63"/>
      <c r="F65" s="63"/>
      <c r="G65" s="63"/>
      <c r="H65" s="63"/>
      <c r="I65" s="63"/>
      <c r="J65" s="63"/>
      <c r="K65" s="63"/>
    </row>
    <row r="66" spans="1:17" s="37" customFormat="1" x14ac:dyDescent="0.2">
      <c r="A66" s="1217" t="s">
        <v>194</v>
      </c>
      <c r="B66" s="222"/>
      <c r="C66" s="402"/>
      <c r="D66" s="402"/>
      <c r="E66" s="87"/>
      <c r="F66" s="87"/>
      <c r="G66" s="87"/>
      <c r="H66" s="87"/>
      <c r="I66" s="87"/>
      <c r="J66" s="87"/>
      <c r="K66" s="87"/>
    </row>
    <row r="67" spans="1:17" s="37" customFormat="1" x14ac:dyDescent="0.2">
      <c r="A67" s="1217" t="s">
        <v>195</v>
      </c>
      <c r="B67" s="222"/>
      <c r="C67" s="402"/>
      <c r="D67" s="402"/>
      <c r="E67" s="87"/>
      <c r="F67" s="87"/>
      <c r="G67" s="87"/>
      <c r="H67" s="87"/>
      <c r="I67" s="87"/>
      <c r="J67" s="87"/>
      <c r="K67" s="87"/>
    </row>
    <row r="68" spans="1:17" s="40" customFormat="1" x14ac:dyDescent="0.2">
      <c r="A68" s="1225" t="s">
        <v>2030</v>
      </c>
      <c r="B68" s="1218"/>
      <c r="C68" s="76">
        <v>1074</v>
      </c>
      <c r="D68" s="111"/>
      <c r="E68" s="76">
        <v>1074</v>
      </c>
      <c r="F68" s="63"/>
      <c r="G68" s="76">
        <v>1074</v>
      </c>
      <c r="H68" s="63"/>
      <c r="I68" s="76">
        <v>1074</v>
      </c>
      <c r="J68" s="63"/>
      <c r="K68" s="76">
        <v>1074</v>
      </c>
      <c r="M68" s="76"/>
    </row>
    <row r="69" spans="1:17" s="37" customFormat="1" x14ac:dyDescent="0.2">
      <c r="A69" s="139"/>
      <c r="B69" s="140"/>
      <c r="C69" s="402"/>
      <c r="D69" s="402"/>
    </row>
    <row r="70" spans="1:17" s="1426" customFormat="1" x14ac:dyDescent="0.2">
      <c r="G70" s="1227"/>
      <c r="H70" s="1228"/>
      <c r="I70" s="1227"/>
      <c r="J70" s="1228"/>
      <c r="K70" s="1227"/>
      <c r="L70" s="1228"/>
    </row>
    <row r="71" spans="1:17" s="48" customFormat="1" x14ac:dyDescent="0.2">
      <c r="A71" s="226" t="s">
        <v>200</v>
      </c>
      <c r="B71" s="227"/>
      <c r="C71" s="228"/>
      <c r="D71" s="229"/>
      <c r="E71" s="230"/>
      <c r="F71" s="229"/>
      <c r="G71" s="230"/>
      <c r="H71" s="229"/>
      <c r="I71" s="230"/>
      <c r="J71" s="229"/>
      <c r="K71" s="230"/>
      <c r="L71" s="229"/>
      <c r="M71" s="51"/>
      <c r="N71" s="52"/>
    </row>
    <row r="72" spans="1:17" s="372" customFormat="1" x14ac:dyDescent="0.2">
      <c r="A72" s="1738" t="s">
        <v>2162</v>
      </c>
      <c r="B72" s="1748"/>
      <c r="C72" s="1749"/>
      <c r="D72" s="1748"/>
      <c r="E72" s="1749"/>
      <c r="F72" s="1748"/>
      <c r="G72" s="1749"/>
      <c r="H72" s="1748"/>
      <c r="I72" s="1749"/>
      <c r="J72" s="1748"/>
      <c r="K72" s="1749"/>
      <c r="L72" s="1748"/>
      <c r="M72" s="1749"/>
      <c r="N72" s="1748"/>
      <c r="O72" s="1184"/>
      <c r="P72" s="1184"/>
      <c r="Q72" s="1229"/>
    </row>
    <row r="73" spans="1:17" s="372" customFormat="1" x14ac:dyDescent="0.2">
      <c r="A73" s="1738" t="s">
        <v>2163</v>
      </c>
      <c r="B73" s="1748"/>
      <c r="C73" s="1749"/>
      <c r="D73" s="1748"/>
      <c r="E73" s="1749"/>
      <c r="F73" s="1748"/>
      <c r="G73" s="1749"/>
      <c r="H73" s="1748"/>
      <c r="I73" s="1749"/>
      <c r="J73" s="1748"/>
      <c r="K73" s="1749"/>
      <c r="L73" s="1748"/>
      <c r="M73" s="1749"/>
      <c r="N73" s="1748"/>
      <c r="O73" s="1184"/>
      <c r="P73" s="1184"/>
    </row>
    <row r="74" spans="1:17" s="1230" customFormat="1" x14ac:dyDescent="0.2">
      <c r="A74" s="1756" t="s">
        <v>2164</v>
      </c>
      <c r="B74" s="1748"/>
      <c r="C74" s="1749"/>
      <c r="D74" s="1748"/>
      <c r="E74" s="1749"/>
      <c r="F74" s="1748"/>
      <c r="G74" s="1749"/>
      <c r="H74" s="1748"/>
      <c r="I74" s="1749"/>
      <c r="J74" s="1748"/>
      <c r="K74" s="1749"/>
      <c r="L74" s="1748"/>
      <c r="M74" s="1749"/>
      <c r="N74" s="1748"/>
    </row>
    <row r="75" spans="1:17" s="320" customFormat="1" x14ac:dyDescent="0.2">
      <c r="A75" s="1756" t="s">
        <v>2165</v>
      </c>
      <c r="B75" s="1756"/>
      <c r="C75" s="1756"/>
      <c r="D75" s="1756"/>
      <c r="E75" s="1756"/>
      <c r="F75" s="1756"/>
      <c r="G75" s="1756"/>
      <c r="H75" s="1756"/>
      <c r="I75" s="1756"/>
      <c r="J75" s="1756"/>
      <c r="K75" s="1756"/>
      <c r="L75" s="1756"/>
      <c r="M75" s="1231"/>
      <c r="N75" s="238"/>
    </row>
    <row r="76" spans="1:17" s="372" customFormat="1" x14ac:dyDescent="0.2">
      <c r="A76" s="1738"/>
      <c r="B76" s="1738"/>
      <c r="C76" s="1738"/>
      <c r="D76" s="1738"/>
      <c r="E76" s="1738"/>
      <c r="F76" s="1738"/>
      <c r="G76" s="1738"/>
      <c r="H76" s="1738"/>
      <c r="I76" s="1738"/>
      <c r="J76" s="1738"/>
      <c r="K76" s="1738"/>
      <c r="L76" s="1738"/>
      <c r="M76" s="1738"/>
      <c r="N76" s="1738"/>
      <c r="O76" s="1184"/>
      <c r="P76" s="1184"/>
    </row>
    <row r="77" spans="1:17" s="1232" customFormat="1" ht="12.75" customHeight="1" x14ac:dyDescent="0.2">
      <c r="A77" s="1822"/>
      <c r="B77" s="1822"/>
      <c r="C77" s="1822"/>
      <c r="D77" s="1822"/>
      <c r="E77" s="1822"/>
      <c r="F77" s="1822"/>
      <c r="G77" s="1822"/>
      <c r="H77" s="1822"/>
      <c r="I77" s="1822"/>
      <c r="J77" s="1822"/>
      <c r="K77" s="1822"/>
      <c r="L77" s="1822"/>
      <c r="M77" s="1234"/>
      <c r="N77" s="1233"/>
    </row>
    <row r="78" spans="1:17" s="1232" customFormat="1" ht="12.75" customHeight="1" x14ac:dyDescent="0.2">
      <c r="A78" s="1822"/>
      <c r="B78" s="1823"/>
      <c r="C78" s="1824"/>
      <c r="D78" s="1823"/>
      <c r="E78" s="1824"/>
      <c r="F78" s="1823"/>
      <c r="G78" s="1824"/>
      <c r="H78" s="1823"/>
      <c r="I78" s="1824"/>
      <c r="J78" s="1823"/>
      <c r="K78" s="1824"/>
      <c r="L78" s="1823"/>
      <c r="M78" s="1824"/>
      <c r="N78" s="1823"/>
    </row>
    <row r="79" spans="1:17" s="1237" customFormat="1" ht="18" customHeight="1" x14ac:dyDescent="0.2">
      <c r="A79" s="1822"/>
      <c r="B79" s="1822"/>
      <c r="C79" s="1822"/>
      <c r="D79" s="1822"/>
      <c r="E79" s="1822"/>
      <c r="F79" s="1822"/>
      <c r="G79" s="1822"/>
      <c r="H79" s="1822"/>
      <c r="I79" s="1822"/>
      <c r="J79" s="1822"/>
      <c r="K79" s="1822"/>
      <c r="L79" s="1822"/>
      <c r="M79" s="1235"/>
      <c r="N79" s="1236"/>
    </row>
    <row r="80" spans="1:17" x14ac:dyDescent="0.2">
      <c r="B80" s="1208"/>
      <c r="C80" s="1208"/>
      <c r="D80" s="1208"/>
      <c r="E80" s="1238"/>
      <c r="F80" s="1238"/>
      <c r="G80" s="1238"/>
      <c r="H80" s="1238"/>
    </row>
    <row r="81" spans="2:8" x14ac:dyDescent="0.2">
      <c r="B81" s="1208"/>
      <c r="C81" s="1208"/>
      <c r="D81" s="1208"/>
      <c r="E81" s="1238"/>
      <c r="F81" s="1238"/>
      <c r="G81" s="1238"/>
      <c r="H81" s="1238"/>
    </row>
    <row r="82" spans="2:8" x14ac:dyDescent="0.2">
      <c r="B82" s="1208"/>
      <c r="C82" s="1208"/>
      <c r="D82" s="1208"/>
      <c r="E82" s="1238"/>
      <c r="F82" s="1238"/>
      <c r="G82" s="1238"/>
      <c r="H82" s="1238"/>
    </row>
    <row r="83" spans="2:8" x14ac:dyDescent="0.2">
      <c r="B83" s="1208"/>
      <c r="C83" s="1208"/>
      <c r="D83" s="1208"/>
      <c r="E83" s="1238"/>
      <c r="F83" s="1238"/>
      <c r="G83" s="1238"/>
      <c r="H83" s="1238"/>
    </row>
    <row r="84" spans="2:8" x14ac:dyDescent="0.2">
      <c r="B84" s="1208"/>
      <c r="C84" s="1208"/>
      <c r="D84" s="1208"/>
      <c r="E84" s="1238"/>
      <c r="F84" s="1238"/>
      <c r="G84" s="1238"/>
      <c r="H84" s="1238"/>
    </row>
    <row r="85" spans="2:8" x14ac:dyDescent="0.2">
      <c r="B85" s="1208"/>
      <c r="C85" s="1208"/>
      <c r="D85" s="1208"/>
      <c r="E85" s="1238"/>
      <c r="F85" s="1238"/>
      <c r="G85" s="1238"/>
      <c r="H85" s="1238"/>
    </row>
    <row r="86" spans="2:8" x14ac:dyDescent="0.2">
      <c r="B86" s="1208"/>
      <c r="C86" s="1208"/>
      <c r="D86" s="1208"/>
      <c r="E86" s="1238"/>
      <c r="F86" s="1238"/>
      <c r="G86" s="1238"/>
      <c r="H86" s="1238"/>
    </row>
    <row r="87" spans="2:8" x14ac:dyDescent="0.2">
      <c r="B87" s="1208"/>
      <c r="C87" s="1208"/>
      <c r="D87" s="1208"/>
      <c r="E87" s="1238"/>
      <c r="F87" s="1238"/>
      <c r="G87" s="1238"/>
      <c r="H87" s="1238"/>
    </row>
    <row r="88" spans="2:8" x14ac:dyDescent="0.2">
      <c r="B88" s="1208"/>
      <c r="C88" s="1208"/>
      <c r="D88" s="1208"/>
      <c r="E88" s="1238"/>
      <c r="F88" s="1238"/>
      <c r="G88" s="1238"/>
      <c r="H88" s="1238"/>
    </row>
    <row r="89" spans="2:8" x14ac:dyDescent="0.2">
      <c r="B89" s="1208"/>
      <c r="C89" s="1208"/>
      <c r="D89" s="1208"/>
      <c r="E89" s="1238"/>
      <c r="F89" s="1238"/>
      <c r="G89" s="1238"/>
      <c r="H89" s="1238"/>
    </row>
    <row r="90" spans="2:8" x14ac:dyDescent="0.2">
      <c r="B90" s="1208"/>
      <c r="C90" s="1208"/>
      <c r="D90" s="1208"/>
      <c r="E90" s="1238"/>
      <c r="F90" s="1238"/>
      <c r="G90" s="1238"/>
      <c r="H90" s="1238"/>
    </row>
    <row r="91" spans="2:8" x14ac:dyDescent="0.2">
      <c r="B91" s="1208"/>
      <c r="C91" s="1208"/>
      <c r="D91" s="1208"/>
      <c r="E91" s="1238"/>
      <c r="F91" s="1238"/>
      <c r="G91" s="1238"/>
      <c r="H91" s="1238"/>
    </row>
    <row r="92" spans="2:8" x14ac:dyDescent="0.2">
      <c r="B92" s="1208"/>
      <c r="C92" s="1208"/>
      <c r="D92" s="1208"/>
      <c r="E92" s="1238"/>
      <c r="F92" s="1238"/>
      <c r="G92" s="1238"/>
      <c r="H92" s="1238"/>
    </row>
    <row r="93" spans="2:8" x14ac:dyDescent="0.2">
      <c r="B93" s="1208"/>
      <c r="C93" s="1208"/>
      <c r="D93" s="1208"/>
      <c r="E93" s="1238"/>
      <c r="F93" s="1238"/>
      <c r="G93" s="1238"/>
      <c r="H93" s="1238"/>
    </row>
    <row r="94" spans="2:8" x14ac:dyDescent="0.2">
      <c r="B94" s="1208"/>
      <c r="C94" s="1208"/>
      <c r="D94" s="1208"/>
      <c r="E94" s="1238"/>
      <c r="F94" s="1238"/>
      <c r="G94" s="1238"/>
      <c r="H94" s="1238"/>
    </row>
    <row r="95" spans="2:8" x14ac:dyDescent="0.2">
      <c r="B95" s="1208"/>
      <c r="C95" s="1208"/>
      <c r="D95" s="1208"/>
      <c r="E95" s="1238"/>
      <c r="F95" s="1238"/>
      <c r="G95" s="1238"/>
      <c r="H95" s="1238"/>
    </row>
    <row r="96" spans="2:8" x14ac:dyDescent="0.2">
      <c r="B96" s="1208"/>
      <c r="C96" s="1208"/>
      <c r="D96" s="1208"/>
      <c r="E96" s="1238"/>
      <c r="F96" s="1238"/>
      <c r="G96" s="1238"/>
      <c r="H96" s="1238"/>
    </row>
    <row r="97" spans="2:8" x14ac:dyDescent="0.2">
      <c r="B97" s="1208"/>
      <c r="C97" s="1208"/>
      <c r="D97" s="1208"/>
      <c r="E97" s="1238"/>
      <c r="F97" s="1238"/>
      <c r="G97" s="1238"/>
      <c r="H97" s="1238"/>
    </row>
    <row r="98" spans="2:8" x14ac:dyDescent="0.2">
      <c r="B98" s="1208"/>
      <c r="C98" s="1208"/>
      <c r="D98" s="1208"/>
      <c r="E98" s="1238"/>
      <c r="F98" s="1238"/>
      <c r="G98" s="1238"/>
      <c r="H98" s="1238"/>
    </row>
    <row r="99" spans="2:8" x14ac:dyDescent="0.2">
      <c r="B99" s="1208"/>
      <c r="C99" s="1208"/>
      <c r="D99" s="1208"/>
      <c r="E99" s="1238"/>
      <c r="F99" s="1238"/>
      <c r="G99" s="1238"/>
      <c r="H99" s="1238"/>
    </row>
    <row r="100" spans="2:8" x14ac:dyDescent="0.2">
      <c r="B100" s="1208"/>
      <c r="C100" s="1208"/>
      <c r="D100" s="1208"/>
      <c r="E100" s="1238"/>
      <c r="F100" s="1238"/>
      <c r="G100" s="1238"/>
      <c r="H100" s="1238"/>
    </row>
    <row r="101" spans="2:8" x14ac:dyDescent="0.2">
      <c r="B101" s="1208"/>
      <c r="C101" s="1208"/>
      <c r="D101" s="1208"/>
      <c r="E101" s="1238"/>
      <c r="F101" s="1238"/>
      <c r="G101" s="1238"/>
      <c r="H101" s="1238"/>
    </row>
    <row r="102" spans="2:8" x14ac:dyDescent="0.2">
      <c r="B102" s="1208"/>
      <c r="C102" s="1208"/>
      <c r="D102" s="1208"/>
      <c r="E102" s="1238"/>
      <c r="F102" s="1238"/>
      <c r="G102" s="1238"/>
      <c r="H102" s="1238"/>
    </row>
    <row r="103" spans="2:8" x14ac:dyDescent="0.2">
      <c r="B103" s="1208"/>
      <c r="C103" s="1208"/>
      <c r="D103" s="1208"/>
      <c r="E103" s="1238"/>
      <c r="F103" s="1238"/>
      <c r="G103" s="1238"/>
      <c r="H103" s="1238"/>
    </row>
    <row r="104" spans="2:8" x14ac:dyDescent="0.2">
      <c r="B104" s="1208"/>
      <c r="C104" s="1208"/>
      <c r="D104" s="1208"/>
      <c r="E104" s="1238"/>
      <c r="F104" s="1238"/>
      <c r="G104" s="1238"/>
      <c r="H104" s="1238"/>
    </row>
    <row r="105" spans="2:8" x14ac:dyDescent="0.2">
      <c r="B105" s="1208"/>
      <c r="C105" s="1208"/>
      <c r="D105" s="1208"/>
      <c r="E105" s="1238"/>
      <c r="F105" s="1238"/>
      <c r="G105" s="1238"/>
      <c r="H105" s="1238"/>
    </row>
  </sheetData>
  <mergeCells count="9">
    <mergeCell ref="A78:N78"/>
    <mergeCell ref="A79:L79"/>
    <mergeCell ref="K2:K3"/>
    <mergeCell ref="A72:N72"/>
    <mergeCell ref="A73:N73"/>
    <mergeCell ref="A74:N74"/>
    <mergeCell ref="A75:L75"/>
    <mergeCell ref="A76:N76"/>
    <mergeCell ref="A77:L77"/>
  </mergeCells>
  <dataValidations count="3">
    <dataValidation type="list" showInputMessage="1" showErrorMessage="1" sqref="B6">
      <formula1>"4, 5, 6"</formula1>
    </dataValidation>
    <dataValidation type="list" showInputMessage="1" showErrorMessage="1" sqref="N3 J3 L3">
      <formula1>"1,2"</formula1>
    </dataValidation>
    <dataValidation showInputMessage="1" showErrorMessage="1" sqref="M3 I3 K3 D6"/>
  </dataValidations>
  <hyperlinks>
    <hyperlink ref="K2:K3" location="Index!A1" display="GoTo Index"/>
  </hyperlinks>
  <pageMargins left="0" right="0" top="0" bottom="0" header="0.5" footer="0.5"/>
  <pageSetup scale="75" fitToHeight="2" pageOrder="overThenDown" orientation="portrait" blackAndWhite="1" r:id="rId1"/>
  <headerFooter alignWithMargins="0">
    <oddFooter>&amp;L&amp;Z&amp;F - &amp;A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1"/>
  <dimension ref="A1:S131"/>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722" customWidth="1"/>
    <col min="2" max="2" width="7.28515625" style="723" customWidth="1"/>
    <col min="3" max="3" width="13.7109375" style="822" customWidth="1"/>
    <col min="4" max="4" width="3" style="822" customWidth="1"/>
    <col min="5" max="5" width="13.7109375" style="758" customWidth="1"/>
    <col min="6" max="6" width="2.85546875" style="756" customWidth="1"/>
    <col min="7" max="7" width="13.7109375" style="758" hidden="1" customWidth="1"/>
    <col min="8" max="8" width="3.140625" style="756" hidden="1" customWidth="1"/>
    <col min="9" max="9" width="13.7109375" style="758" customWidth="1"/>
    <col min="10" max="10" width="3.140625" style="756" bestFit="1" customWidth="1"/>
    <col min="11" max="11" width="13.7109375" style="758" customWidth="1"/>
    <col min="12" max="12" width="3.140625" style="756" bestFit="1" customWidth="1"/>
    <col min="13" max="13" width="13.7109375" style="758" hidden="1" customWidth="1"/>
    <col min="14" max="14" width="3.140625" style="756" hidden="1" customWidth="1"/>
    <col min="15" max="15" width="13.7109375" style="758" customWidth="1"/>
    <col min="16" max="16" width="2.85546875" style="756" customWidth="1"/>
    <col min="17" max="17" width="3.42578125" style="724" customWidth="1"/>
    <col min="18" max="18" width="15.5703125" style="724" customWidth="1"/>
    <col min="19" max="16384" width="9.140625" style="724"/>
  </cols>
  <sheetData>
    <row r="1" spans="1:16" s="709" customFormat="1" ht="15.75" x14ac:dyDescent="0.2">
      <c r="A1" s="1" t="s">
        <v>174</v>
      </c>
      <c r="B1" s="2">
        <v>2019</v>
      </c>
      <c r="C1" s="708"/>
      <c r="E1" s="708"/>
      <c r="G1" s="710"/>
      <c r="I1" s="710"/>
      <c r="J1" s="711"/>
      <c r="K1" s="710"/>
      <c r="L1" s="711"/>
      <c r="M1" s="710"/>
      <c r="N1" s="711"/>
    </row>
    <row r="2" spans="1:16" s="709" customFormat="1" ht="15.75" x14ac:dyDescent="0.25">
      <c r="A2" s="1" t="s">
        <v>175</v>
      </c>
      <c r="B2" s="7" t="s">
        <v>176</v>
      </c>
      <c r="C2" s="7" t="s">
        <v>0</v>
      </c>
      <c r="D2" s="711"/>
      <c r="E2" s="712"/>
      <c r="F2" s="713"/>
      <c r="G2" s="712"/>
      <c r="H2" s="711"/>
      <c r="I2" s="712"/>
      <c r="J2" s="711"/>
      <c r="K2" s="1733" t="s">
        <v>171</v>
      </c>
      <c r="L2" s="711"/>
      <c r="M2" s="712"/>
      <c r="N2" s="711"/>
    </row>
    <row r="3" spans="1:16" s="709" customFormat="1" ht="15.75" x14ac:dyDescent="0.25">
      <c r="A3" s="1" t="s">
        <v>177</v>
      </c>
      <c r="B3" s="10" t="s">
        <v>1496</v>
      </c>
      <c r="C3" s="10" t="s">
        <v>1896</v>
      </c>
      <c r="D3" s="711"/>
      <c r="E3" s="714"/>
      <c r="F3" s="713"/>
      <c r="G3" s="714"/>
      <c r="H3" s="711"/>
      <c r="I3" s="714"/>
      <c r="J3" s="711"/>
      <c r="K3" s="1734"/>
      <c r="L3" s="711"/>
      <c r="M3" s="714"/>
      <c r="N3" s="711"/>
    </row>
    <row r="4" spans="1:16" s="709" customFormat="1" ht="15.75" x14ac:dyDescent="0.25">
      <c r="A4" s="1" t="s">
        <v>180</v>
      </c>
      <c r="B4" s="10" t="s">
        <v>1897</v>
      </c>
      <c r="C4" s="10" t="s">
        <v>46</v>
      </c>
      <c r="D4" s="711"/>
      <c r="E4" s="714"/>
      <c r="F4" s="713"/>
      <c r="G4" s="714"/>
      <c r="H4" s="711"/>
      <c r="I4" s="714"/>
      <c r="J4" s="711"/>
      <c r="K4" s="714"/>
      <c r="L4" s="711"/>
      <c r="M4" s="714"/>
      <c r="N4" s="711"/>
    </row>
    <row r="5" spans="1:16" s="709" customFormat="1" ht="15.75" x14ac:dyDescent="0.2">
      <c r="A5" s="1" t="s">
        <v>183</v>
      </c>
      <c r="B5" s="12" t="s">
        <v>2169</v>
      </c>
      <c r="C5" s="12" t="s">
        <v>58</v>
      </c>
      <c r="D5" s="13"/>
      <c r="E5" s="715"/>
      <c r="G5" s="715"/>
      <c r="I5" s="715"/>
      <c r="K5" s="715"/>
      <c r="M5" s="715"/>
    </row>
    <row r="6" spans="1:16" s="709" customFormat="1" ht="15.75" x14ac:dyDescent="0.25">
      <c r="A6" s="15" t="s">
        <v>186</v>
      </c>
      <c r="B6" s="16">
        <v>4</v>
      </c>
      <c r="C6" s="716"/>
      <c r="D6" s="18"/>
      <c r="E6" s="1240"/>
      <c r="F6" s="1241"/>
      <c r="G6" s="1242"/>
      <c r="H6" s="1242"/>
      <c r="I6" s="1240"/>
      <c r="J6" s="1242"/>
      <c r="K6" s="1240"/>
      <c r="L6" s="711"/>
      <c r="M6" s="712"/>
      <c r="N6" s="711"/>
    </row>
    <row r="7" spans="1:16" s="721" customFormat="1" x14ac:dyDescent="0.2">
      <c r="A7" s="718"/>
      <c r="B7" s="719"/>
      <c r="C7" s="1243"/>
      <c r="D7" s="1244"/>
      <c r="E7" s="1243"/>
      <c r="F7" s="1244"/>
      <c r="G7" s="1243"/>
      <c r="H7" s="1244"/>
      <c r="I7" s="1243"/>
      <c r="J7" s="1244"/>
      <c r="K7" s="1243" t="s">
        <v>187</v>
      </c>
      <c r="L7" s="1244"/>
      <c r="M7" s="1243" t="s">
        <v>187</v>
      </c>
      <c r="N7" s="1244"/>
    </row>
    <row r="8" spans="1:16" x14ac:dyDescent="0.2">
      <c r="C8" s="1245" t="s">
        <v>188</v>
      </c>
      <c r="D8" s="1246" t="s">
        <v>189</v>
      </c>
      <c r="E8" s="1245" t="s">
        <v>188</v>
      </c>
      <c r="F8" s="1246" t="s">
        <v>189</v>
      </c>
      <c r="G8" s="1245" t="s">
        <v>190</v>
      </c>
      <c r="H8" s="1246" t="s">
        <v>189</v>
      </c>
      <c r="I8" s="1245" t="s">
        <v>191</v>
      </c>
      <c r="J8" s="1246" t="s">
        <v>189</v>
      </c>
      <c r="K8" s="1245" t="s">
        <v>192</v>
      </c>
      <c r="L8" s="1246" t="s">
        <v>189</v>
      </c>
      <c r="M8" s="1245" t="s">
        <v>192</v>
      </c>
      <c r="N8" s="1246" t="s">
        <v>189</v>
      </c>
      <c r="O8" s="724"/>
      <c r="P8" s="724"/>
    </row>
    <row r="9" spans="1:16" s="721" customFormat="1" ht="14.25" x14ac:dyDescent="0.2">
      <c r="A9" s="725"/>
      <c r="B9" s="726"/>
      <c r="C9" s="1247" t="str">
        <f>"FY " &amp; FiscalYear - 3</f>
        <v>FY 2016</v>
      </c>
      <c r="D9" s="1248" t="s">
        <v>193</v>
      </c>
      <c r="E9" s="1247" t="str">
        <f>"FY " &amp; FiscalYear - 2</f>
        <v>FY 2017</v>
      </c>
      <c r="F9" s="1248" t="s">
        <v>193</v>
      </c>
      <c r="G9" s="1247" t="str">
        <f>"FY " &amp; FiscalYear - 1</f>
        <v>FY 2018</v>
      </c>
      <c r="H9" s="1248" t="s">
        <v>193</v>
      </c>
      <c r="I9" s="1247" t="str">
        <f>"FY " &amp; FiscalYear - 1</f>
        <v>FY 2018</v>
      </c>
      <c r="J9" s="1248" t="s">
        <v>193</v>
      </c>
      <c r="K9" s="1247" t="str">
        <f>"FY " &amp; FiscalYear</f>
        <v>FY 2019</v>
      </c>
      <c r="L9" s="1248" t="s">
        <v>193</v>
      </c>
      <c r="M9" s="1247" t="str">
        <f>"FY " &amp; FiscalYear + 1</f>
        <v>FY 2020</v>
      </c>
      <c r="N9" s="1248" t="s">
        <v>193</v>
      </c>
    </row>
    <row r="10" spans="1:16" s="273" customFormat="1" x14ac:dyDescent="0.2">
      <c r="A10" s="46" t="s">
        <v>222</v>
      </c>
      <c r="B10" s="47"/>
      <c r="C10" s="1249"/>
      <c r="D10" s="1249"/>
    </row>
    <row r="11" spans="1:16" s="273" customFormat="1" x14ac:dyDescent="0.2">
      <c r="A11" s="46" t="s">
        <v>1968</v>
      </c>
      <c r="B11" s="47"/>
      <c r="C11" s="1249"/>
      <c r="D11" s="1249"/>
    </row>
    <row r="12" spans="1:16" s="778" customFormat="1" x14ac:dyDescent="0.2">
      <c r="A12" s="1250" t="s">
        <v>1969</v>
      </c>
      <c r="B12" s="1251"/>
      <c r="C12" s="1137">
        <v>10575</v>
      </c>
      <c r="D12" s="1249"/>
      <c r="E12" s="1137">
        <v>10303</v>
      </c>
      <c r="G12" s="1137">
        <v>10236</v>
      </c>
      <c r="I12" s="1137">
        <v>9934</v>
      </c>
      <c r="K12" s="1137">
        <v>9934</v>
      </c>
      <c r="M12" s="1137"/>
    </row>
    <row r="13" spans="1:16" s="778" customFormat="1" x14ac:dyDescent="0.2">
      <c r="A13" s="1250" t="s">
        <v>1970</v>
      </c>
      <c r="B13" s="1251"/>
      <c r="C13" s="1137">
        <v>8218</v>
      </c>
      <c r="D13" s="1249"/>
      <c r="E13" s="1137">
        <v>7998</v>
      </c>
      <c r="G13" s="1137">
        <v>7978</v>
      </c>
      <c r="I13" s="1137">
        <v>7715</v>
      </c>
      <c r="K13" s="1137">
        <v>7715</v>
      </c>
      <c r="M13" s="1137"/>
    </row>
    <row r="14" spans="1:16" s="778" customFormat="1" x14ac:dyDescent="0.2">
      <c r="A14" s="1252" t="s">
        <v>1971</v>
      </c>
      <c r="B14" s="1251"/>
      <c r="C14" s="1137">
        <v>9127</v>
      </c>
      <c r="D14" s="1249"/>
      <c r="E14" s="1137">
        <v>8851</v>
      </c>
      <c r="G14" s="1137">
        <v>8773</v>
      </c>
      <c r="I14" s="1137">
        <v>8540</v>
      </c>
      <c r="K14" s="1137">
        <v>8540</v>
      </c>
      <c r="M14" s="1137"/>
    </row>
    <row r="15" spans="1:16" s="778" customFormat="1" x14ac:dyDescent="0.2">
      <c r="A15" s="1252" t="s">
        <v>1972</v>
      </c>
      <c r="B15" s="1251"/>
      <c r="C15" s="1137">
        <v>7535</v>
      </c>
      <c r="D15" s="1249"/>
      <c r="E15" s="1137">
        <v>7303</v>
      </c>
      <c r="G15" s="1137">
        <v>7272</v>
      </c>
      <c r="I15" s="1137">
        <v>7047</v>
      </c>
      <c r="K15" s="1137">
        <v>7047</v>
      </c>
      <c r="M15" s="1137"/>
    </row>
    <row r="16" spans="1:16" s="778" customFormat="1" x14ac:dyDescent="0.2">
      <c r="A16" s="1253" t="s">
        <v>1973</v>
      </c>
      <c r="B16" s="1251"/>
      <c r="C16" s="1137">
        <v>7409</v>
      </c>
      <c r="D16" s="1249"/>
      <c r="E16" s="1137">
        <v>7214</v>
      </c>
      <c r="G16" s="1137">
        <v>7228</v>
      </c>
      <c r="I16" s="1137">
        <v>7039</v>
      </c>
      <c r="K16" s="1137">
        <v>7039</v>
      </c>
      <c r="M16" s="1137"/>
    </row>
    <row r="17" spans="1:13" s="778" customFormat="1" x14ac:dyDescent="0.2">
      <c r="A17" s="1253" t="s">
        <v>1974</v>
      </c>
      <c r="B17" s="1251"/>
      <c r="C17" s="1137">
        <v>6815</v>
      </c>
      <c r="D17" s="1249"/>
      <c r="E17" s="1137">
        <v>6610</v>
      </c>
      <c r="G17" s="1137">
        <v>6621</v>
      </c>
      <c r="I17" s="1137">
        <v>6409</v>
      </c>
      <c r="K17" s="1137">
        <v>6409</v>
      </c>
      <c r="M17" s="1137"/>
    </row>
    <row r="18" spans="1:13" s="778" customFormat="1" x14ac:dyDescent="0.2">
      <c r="A18" s="1253" t="s">
        <v>1975</v>
      </c>
      <c r="B18" s="1251"/>
      <c r="C18" s="1137">
        <v>1718</v>
      </c>
      <c r="D18" s="1249"/>
      <c r="E18" s="1137">
        <v>1637</v>
      </c>
      <c r="G18" s="1137">
        <v>1545</v>
      </c>
      <c r="I18" s="1137">
        <v>1501</v>
      </c>
      <c r="K18" s="1137">
        <v>1501</v>
      </c>
      <c r="M18" s="1137"/>
    </row>
    <row r="19" spans="1:13" s="778" customFormat="1" x14ac:dyDescent="0.2">
      <c r="A19" s="1253" t="s">
        <v>1976</v>
      </c>
      <c r="B19" s="1251"/>
      <c r="C19" s="1137">
        <v>720</v>
      </c>
      <c r="D19" s="1249"/>
      <c r="E19" s="1137">
        <v>693</v>
      </c>
      <c r="G19" s="1137">
        <v>651</v>
      </c>
      <c r="I19" s="1137">
        <v>638</v>
      </c>
      <c r="K19" s="1137">
        <v>638</v>
      </c>
      <c r="M19" s="1137"/>
    </row>
    <row r="20" spans="1:13" s="778" customFormat="1" x14ac:dyDescent="0.2">
      <c r="A20" s="1252" t="s">
        <v>1977</v>
      </c>
      <c r="B20" s="1251"/>
      <c r="C20" s="1137">
        <v>1448</v>
      </c>
      <c r="D20" s="1249"/>
      <c r="E20" s="1137">
        <v>1452</v>
      </c>
      <c r="G20" s="1137">
        <v>1463</v>
      </c>
      <c r="I20" s="1137">
        <v>1394</v>
      </c>
      <c r="K20" s="1137">
        <v>1394</v>
      </c>
      <c r="M20" s="1137"/>
    </row>
    <row r="21" spans="1:13" s="778" customFormat="1" x14ac:dyDescent="0.2">
      <c r="A21" s="1252" t="s">
        <v>1978</v>
      </c>
      <c r="B21" s="1251"/>
      <c r="C21" s="1137">
        <v>683</v>
      </c>
      <c r="D21" s="1249"/>
      <c r="E21" s="1137">
        <v>695</v>
      </c>
      <c r="G21" s="1137">
        <v>706</v>
      </c>
      <c r="I21" s="1137">
        <v>668</v>
      </c>
      <c r="K21" s="1137">
        <v>668</v>
      </c>
      <c r="M21" s="1137"/>
    </row>
    <row r="22" spans="1:13" s="778" customFormat="1" x14ac:dyDescent="0.2">
      <c r="A22" s="1253" t="s">
        <v>1973</v>
      </c>
      <c r="B22" s="1251"/>
      <c r="C22" s="1137">
        <v>333</v>
      </c>
      <c r="D22" s="1249"/>
      <c r="E22" s="1137">
        <v>334</v>
      </c>
      <c r="G22" s="1137">
        <v>336.6015246015246</v>
      </c>
      <c r="I22" s="1137">
        <v>321</v>
      </c>
      <c r="K22" s="1137">
        <v>321</v>
      </c>
      <c r="M22" s="1137"/>
    </row>
    <row r="23" spans="1:13" s="778" customFormat="1" x14ac:dyDescent="0.2">
      <c r="A23" s="1253" t="s">
        <v>1974</v>
      </c>
      <c r="B23" s="1251"/>
      <c r="C23" s="1137">
        <v>282</v>
      </c>
      <c r="D23" s="1249"/>
      <c r="E23" s="1137">
        <v>287</v>
      </c>
      <c r="G23" s="1137">
        <v>291.67591240875907</v>
      </c>
      <c r="I23" s="1137">
        <v>276</v>
      </c>
      <c r="K23" s="1137">
        <v>276</v>
      </c>
      <c r="M23" s="1137"/>
    </row>
    <row r="24" spans="1:13" s="778" customFormat="1" x14ac:dyDescent="0.2">
      <c r="A24" s="1253" t="s">
        <v>1975</v>
      </c>
      <c r="B24" s="1251"/>
      <c r="C24" s="1137">
        <v>1115</v>
      </c>
      <c r="D24" s="1249"/>
      <c r="E24" s="1137">
        <v>1118</v>
      </c>
      <c r="G24" s="1137">
        <v>1126.3984753984755</v>
      </c>
      <c r="I24" s="1137">
        <v>1073</v>
      </c>
      <c r="K24" s="1137">
        <v>1073.3920000000001</v>
      </c>
      <c r="M24" s="1137"/>
    </row>
    <row r="25" spans="1:13" s="778" customFormat="1" x14ac:dyDescent="0.2">
      <c r="A25" s="1253" t="s">
        <v>1976</v>
      </c>
      <c r="B25" s="1251"/>
      <c r="C25" s="1137">
        <v>401</v>
      </c>
      <c r="D25" s="1249"/>
      <c r="E25" s="1137">
        <v>408</v>
      </c>
      <c r="G25" s="1137">
        <v>414.32408759124093</v>
      </c>
      <c r="I25" s="1137">
        <v>392</v>
      </c>
      <c r="K25" s="1137">
        <v>392</v>
      </c>
      <c r="M25" s="1137"/>
    </row>
    <row r="26" spans="1:13" s="778" customFormat="1" x14ac:dyDescent="0.2">
      <c r="A26" s="1250" t="s">
        <v>1981</v>
      </c>
      <c r="B26" s="1251"/>
      <c r="C26" s="1137">
        <v>77</v>
      </c>
      <c r="D26" s="1249"/>
      <c r="E26" s="1137">
        <v>78</v>
      </c>
      <c r="G26" s="1137">
        <v>79</v>
      </c>
      <c r="I26" s="1137">
        <v>78</v>
      </c>
      <c r="K26" s="1137">
        <v>78</v>
      </c>
      <c r="M26" s="1137"/>
    </row>
    <row r="27" spans="1:13" s="778" customFormat="1" x14ac:dyDescent="0.2">
      <c r="A27" s="1250" t="s">
        <v>1982</v>
      </c>
      <c r="B27" s="1251"/>
      <c r="C27" s="1137">
        <v>2243</v>
      </c>
      <c r="D27" s="1249"/>
      <c r="E27" s="1137">
        <v>2417</v>
      </c>
      <c r="G27" s="1137">
        <v>2417</v>
      </c>
      <c r="I27" s="1137">
        <v>2253</v>
      </c>
      <c r="K27" s="1137">
        <v>2253</v>
      </c>
      <c r="M27" s="1137"/>
    </row>
    <row r="28" spans="1:13" s="778" customFormat="1" x14ac:dyDescent="0.2">
      <c r="A28" s="1250" t="s">
        <v>1983</v>
      </c>
      <c r="B28" s="1251"/>
      <c r="C28" s="1254"/>
      <c r="D28" s="1249"/>
      <c r="E28" s="1254"/>
      <c r="G28" s="1254"/>
      <c r="I28" s="1254"/>
      <c r="K28" s="1254"/>
      <c r="M28" s="1254"/>
    </row>
    <row r="29" spans="1:13" s="778" customFormat="1" x14ac:dyDescent="0.2">
      <c r="A29" s="1252" t="s">
        <v>1984</v>
      </c>
      <c r="B29" s="1251"/>
      <c r="C29" s="1137">
        <v>2214</v>
      </c>
      <c r="D29" s="1249"/>
      <c r="E29" s="1137">
        <v>2108</v>
      </c>
      <c r="G29" s="1137">
        <v>2214</v>
      </c>
      <c r="I29" s="1137">
        <v>2108</v>
      </c>
      <c r="K29" s="1137">
        <v>2108</v>
      </c>
      <c r="M29" s="1137"/>
    </row>
    <row r="30" spans="1:13" s="778" customFormat="1" x14ac:dyDescent="0.2">
      <c r="A30" s="1252" t="s">
        <v>1985</v>
      </c>
      <c r="B30" s="1251"/>
      <c r="C30" s="1137">
        <v>340</v>
      </c>
      <c r="D30" s="1249"/>
      <c r="E30" s="1137">
        <v>349</v>
      </c>
      <c r="G30" s="1137">
        <v>340</v>
      </c>
      <c r="I30" s="1137">
        <v>349</v>
      </c>
      <c r="K30" s="1137">
        <v>349</v>
      </c>
      <c r="M30" s="1137"/>
    </row>
    <row r="31" spans="1:13" s="778" customFormat="1" x14ac:dyDescent="0.2">
      <c r="A31" s="1252" t="s">
        <v>2170</v>
      </c>
      <c r="B31" s="1251"/>
      <c r="C31" s="1137">
        <v>2</v>
      </c>
      <c r="D31" s="1249"/>
      <c r="E31" s="1137">
        <v>5</v>
      </c>
      <c r="G31" s="1137">
        <v>2</v>
      </c>
      <c r="I31" s="1137">
        <v>5</v>
      </c>
      <c r="K31" s="1137">
        <v>5</v>
      </c>
      <c r="M31" s="1137"/>
    </row>
    <row r="32" spans="1:13" s="778" customFormat="1" x14ac:dyDescent="0.2">
      <c r="A32" s="1250" t="s">
        <v>2146</v>
      </c>
      <c r="B32" s="1251"/>
      <c r="C32" s="1255" t="s">
        <v>2147</v>
      </c>
      <c r="D32" s="1249"/>
      <c r="E32" s="1255" t="s">
        <v>2147</v>
      </c>
      <c r="G32" s="1255" t="s">
        <v>2147</v>
      </c>
      <c r="I32" s="1255" t="s">
        <v>2147</v>
      </c>
      <c r="K32" s="1255" t="s">
        <v>2147</v>
      </c>
      <c r="M32" s="1137"/>
    </row>
    <row r="33" spans="1:13" s="778" customFormat="1" x14ac:dyDescent="0.2">
      <c r="A33" s="1250" t="s">
        <v>2019</v>
      </c>
      <c r="B33" s="1251"/>
      <c r="C33" s="1249"/>
      <c r="D33" s="1249"/>
      <c r="E33" s="1249"/>
      <c r="G33" s="1249"/>
      <c r="I33" s="1249"/>
      <c r="K33" s="1249"/>
    </row>
    <row r="34" spans="1:13" s="778" customFormat="1" x14ac:dyDescent="0.2">
      <c r="A34" s="1252" t="s">
        <v>2084</v>
      </c>
      <c r="B34" s="1251"/>
      <c r="C34" s="1137">
        <v>4908</v>
      </c>
      <c r="D34" s="1249"/>
      <c r="E34" s="1137">
        <v>4810</v>
      </c>
      <c r="G34" s="1137">
        <v>4926</v>
      </c>
      <c r="I34" s="1137">
        <v>4810</v>
      </c>
      <c r="K34" s="1137">
        <v>4810</v>
      </c>
      <c r="M34" s="1256"/>
    </row>
    <row r="35" spans="1:13" s="778" customFormat="1" x14ac:dyDescent="0.2">
      <c r="A35" s="1252" t="s">
        <v>2128</v>
      </c>
      <c r="B35" s="1251"/>
      <c r="C35" s="1137">
        <v>660</v>
      </c>
      <c r="D35" s="1249"/>
      <c r="E35" s="1137">
        <v>648</v>
      </c>
      <c r="G35" s="1137">
        <v>668</v>
      </c>
      <c r="I35" s="1137">
        <v>648</v>
      </c>
      <c r="K35" s="1137">
        <v>648</v>
      </c>
      <c r="M35" s="1256"/>
    </row>
    <row r="36" spans="1:13" s="778" customFormat="1" x14ac:dyDescent="0.2">
      <c r="A36" s="1253" t="s">
        <v>2129</v>
      </c>
      <c r="B36" s="1251"/>
      <c r="C36" s="1137">
        <v>3927</v>
      </c>
      <c r="D36" s="1249"/>
      <c r="E36" s="1137">
        <v>3757</v>
      </c>
      <c r="G36" s="1137">
        <v>3929</v>
      </c>
      <c r="I36" s="1137">
        <v>3757</v>
      </c>
      <c r="K36" s="1137">
        <v>3757</v>
      </c>
      <c r="M36" s="1256"/>
    </row>
    <row r="37" spans="1:13" s="778" customFormat="1" x14ac:dyDescent="0.2">
      <c r="A37" s="1253" t="s">
        <v>2130</v>
      </c>
      <c r="B37" s="1251"/>
      <c r="C37" s="1137">
        <v>520</v>
      </c>
      <c r="D37" s="1249"/>
      <c r="E37" s="1137">
        <v>490</v>
      </c>
      <c r="G37" s="1137">
        <v>522</v>
      </c>
      <c r="I37" s="1137">
        <v>490</v>
      </c>
      <c r="K37" s="1137">
        <v>490</v>
      </c>
      <c r="M37" s="1256"/>
    </row>
    <row r="38" spans="1:13" s="778" customFormat="1" x14ac:dyDescent="0.2">
      <c r="A38" s="1253" t="s">
        <v>2131</v>
      </c>
      <c r="B38" s="1251"/>
      <c r="C38" s="1137">
        <v>981</v>
      </c>
      <c r="D38" s="1249"/>
      <c r="E38" s="1137">
        <v>1053</v>
      </c>
      <c r="G38" s="1137">
        <v>997</v>
      </c>
      <c r="I38" s="1137">
        <v>1053</v>
      </c>
      <c r="K38" s="1137">
        <v>1053</v>
      </c>
      <c r="M38" s="1256"/>
    </row>
    <row r="39" spans="1:13" s="778" customFormat="1" x14ac:dyDescent="0.2">
      <c r="A39" s="1253" t="s">
        <v>2132</v>
      </c>
      <c r="B39" s="1251"/>
      <c r="C39" s="1137">
        <v>140</v>
      </c>
      <c r="D39" s="1249"/>
      <c r="E39" s="1137">
        <v>158</v>
      </c>
      <c r="G39" s="1137">
        <v>146</v>
      </c>
      <c r="I39" s="1137">
        <v>158</v>
      </c>
      <c r="K39" s="1137">
        <v>158</v>
      </c>
      <c r="M39" s="1256"/>
    </row>
    <row r="40" spans="1:13" s="404" customFormat="1" x14ac:dyDescent="0.2">
      <c r="A40" s="1257" t="s">
        <v>2133</v>
      </c>
      <c r="B40" s="281"/>
      <c r="C40" s="1132">
        <v>6108723</v>
      </c>
      <c r="D40" s="1249"/>
      <c r="E40" s="631">
        <v>6737979</v>
      </c>
      <c r="G40" s="631">
        <v>6460580</v>
      </c>
      <c r="I40" s="631">
        <v>6860734</v>
      </c>
      <c r="K40" s="631">
        <v>6860734</v>
      </c>
      <c r="M40" s="631"/>
    </row>
    <row r="41" spans="1:13" s="404" customFormat="1" ht="25.5" x14ac:dyDescent="0.2">
      <c r="A41" s="281" t="s">
        <v>1993</v>
      </c>
      <c r="B41" s="281"/>
      <c r="C41" s="1137">
        <v>1204</v>
      </c>
      <c r="D41" s="1249"/>
      <c r="E41" s="393">
        <v>1257</v>
      </c>
      <c r="G41" s="262"/>
      <c r="I41" s="393">
        <v>1125</v>
      </c>
      <c r="K41" s="393"/>
      <c r="M41" s="262"/>
    </row>
    <row r="42" spans="1:13" s="404" customFormat="1" x14ac:dyDescent="0.2">
      <c r="A42" s="1257" t="s">
        <v>1994</v>
      </c>
      <c r="B42" s="281"/>
      <c r="C42" s="1137">
        <v>507</v>
      </c>
      <c r="D42" s="1249"/>
      <c r="E42" s="393">
        <v>507</v>
      </c>
      <c r="G42" s="262"/>
      <c r="I42" s="393">
        <v>514</v>
      </c>
      <c r="K42" s="393"/>
      <c r="M42" s="262"/>
    </row>
    <row r="43" spans="1:13" s="404" customFormat="1" x14ac:dyDescent="0.2">
      <c r="A43" s="1257" t="s">
        <v>1998</v>
      </c>
      <c r="B43" s="281"/>
      <c r="C43" s="1137">
        <v>499</v>
      </c>
      <c r="D43" s="1249"/>
      <c r="E43" s="393">
        <v>498</v>
      </c>
      <c r="G43" s="262"/>
      <c r="I43" s="393">
        <v>520</v>
      </c>
      <c r="K43" s="393"/>
      <c r="M43" s="262"/>
    </row>
    <row r="44" spans="1:13" s="404" customFormat="1" x14ac:dyDescent="0.2">
      <c r="A44" s="1257" t="s">
        <v>2003</v>
      </c>
      <c r="B44" s="281"/>
      <c r="C44" s="1258">
        <v>1006</v>
      </c>
      <c r="D44" s="1249"/>
      <c r="E44" s="1259">
        <v>1005</v>
      </c>
      <c r="G44" s="1260"/>
      <c r="I44" s="1259">
        <f>I42+I43</f>
        <v>1034</v>
      </c>
      <c r="K44" s="1259"/>
      <c r="M44" s="1260"/>
    </row>
    <row r="45" spans="1:13" s="404" customFormat="1" x14ac:dyDescent="0.2">
      <c r="A45" s="1261" t="s">
        <v>2156</v>
      </c>
      <c r="B45" s="281"/>
      <c r="C45" s="1249"/>
      <c r="D45" s="1249"/>
      <c r="E45" s="1262"/>
      <c r="K45" s="1262"/>
    </row>
    <row r="46" spans="1:13" s="404" customFormat="1" x14ac:dyDescent="0.2">
      <c r="A46" s="1257" t="s">
        <v>2005</v>
      </c>
      <c r="B46" s="281"/>
      <c r="C46" s="1263">
        <v>0.751</v>
      </c>
      <c r="D46" s="1249"/>
      <c r="E46" s="1264">
        <v>0.77</v>
      </c>
      <c r="G46" s="1265"/>
      <c r="I46" s="1265"/>
      <c r="K46" s="1264"/>
      <c r="M46" s="1265"/>
    </row>
    <row r="47" spans="1:13" s="404" customFormat="1" x14ac:dyDescent="0.2">
      <c r="A47" s="1257" t="s">
        <v>2006</v>
      </c>
      <c r="B47" s="281"/>
      <c r="C47" s="1263">
        <v>0.47799999999999998</v>
      </c>
      <c r="D47" s="1249"/>
      <c r="E47" s="1264">
        <v>0.53700000000000003</v>
      </c>
      <c r="G47" s="1265"/>
      <c r="I47" s="1265"/>
      <c r="K47" s="1264"/>
      <c r="M47" s="1265"/>
    </row>
    <row r="48" spans="1:13" s="404" customFormat="1" x14ac:dyDescent="0.2">
      <c r="A48" s="1261" t="s">
        <v>2007</v>
      </c>
      <c r="B48" s="281"/>
      <c r="C48" s="1249"/>
      <c r="D48" s="1249"/>
      <c r="E48" s="1262"/>
      <c r="K48" s="1262"/>
    </row>
    <row r="49" spans="1:19" s="404" customFormat="1" x14ac:dyDescent="0.2">
      <c r="A49" s="1257" t="s">
        <v>2157</v>
      </c>
      <c r="B49" s="281"/>
      <c r="C49" s="1266">
        <v>28025</v>
      </c>
      <c r="D49" s="1249"/>
      <c r="E49" s="1267">
        <v>29065</v>
      </c>
      <c r="F49" s="404" t="s">
        <v>3063</v>
      </c>
      <c r="G49" s="1268"/>
      <c r="I49" s="1267">
        <v>29474</v>
      </c>
      <c r="J49" s="404" t="s">
        <v>1711</v>
      </c>
      <c r="K49" s="1267"/>
      <c r="M49" s="1267"/>
    </row>
    <row r="50" spans="1:19" s="404" customFormat="1" x14ac:dyDescent="0.2">
      <c r="A50" s="1257" t="s">
        <v>2009</v>
      </c>
      <c r="B50" s="281"/>
      <c r="C50" s="1266">
        <v>9033</v>
      </c>
      <c r="D50" s="1249"/>
      <c r="E50" s="1267">
        <v>9976</v>
      </c>
      <c r="F50" s="404" t="s">
        <v>3063</v>
      </c>
      <c r="G50" s="1268"/>
      <c r="I50" s="1267">
        <v>12680</v>
      </c>
      <c r="J50" s="404" t="s">
        <v>1711</v>
      </c>
      <c r="K50" s="1267"/>
      <c r="M50" s="1267"/>
    </row>
    <row r="51" spans="1:19" s="404" customFormat="1" x14ac:dyDescent="0.2">
      <c r="A51" s="1257" t="s">
        <v>2010</v>
      </c>
      <c r="B51" s="281"/>
      <c r="C51" s="1266">
        <v>16793</v>
      </c>
      <c r="D51" s="1249"/>
      <c r="E51" s="1267">
        <v>17868</v>
      </c>
      <c r="F51" s="404" t="s">
        <v>3063</v>
      </c>
      <c r="G51" s="1268"/>
      <c r="I51" s="1267">
        <v>20718</v>
      </c>
      <c r="J51" s="404" t="s">
        <v>1711</v>
      </c>
      <c r="K51" s="1267"/>
      <c r="M51" s="1267"/>
    </row>
    <row r="52" spans="1:19" s="404" customFormat="1" x14ac:dyDescent="0.2">
      <c r="A52" s="1257" t="s">
        <v>2011</v>
      </c>
      <c r="B52" s="281"/>
      <c r="C52" s="1266">
        <v>3207</v>
      </c>
      <c r="D52" s="1249"/>
      <c r="E52" s="1267">
        <v>2598</v>
      </c>
      <c r="F52" s="404" t="s">
        <v>3063</v>
      </c>
      <c r="G52" s="1268"/>
      <c r="I52" s="1267">
        <v>124</v>
      </c>
      <c r="J52" s="404" t="s">
        <v>1711</v>
      </c>
      <c r="K52" s="1267"/>
      <c r="M52" s="1267"/>
    </row>
    <row r="53" spans="1:19" s="404" customFormat="1" x14ac:dyDescent="0.2">
      <c r="A53" s="1269"/>
      <c r="B53" s="281"/>
      <c r="C53" s="1249"/>
      <c r="D53" s="1249"/>
      <c r="E53" s="1262"/>
      <c r="K53" s="1262"/>
    </row>
    <row r="54" spans="1:19" s="273" customFormat="1" x14ac:dyDescent="0.2">
      <c r="A54" s="46" t="s">
        <v>517</v>
      </c>
      <c r="B54" s="47"/>
      <c r="C54" s="1249"/>
      <c r="D54" s="1249"/>
      <c r="E54" s="1270"/>
      <c r="K54" s="1270"/>
    </row>
    <row r="55" spans="1:19" s="273" customFormat="1" x14ac:dyDescent="0.2">
      <c r="A55" s="46" t="s">
        <v>1968</v>
      </c>
      <c r="B55" s="47"/>
      <c r="C55" s="1249"/>
      <c r="D55" s="1249"/>
      <c r="E55" s="1270"/>
      <c r="K55" s="1270"/>
    </row>
    <row r="56" spans="1:19" s="404" customFormat="1" x14ac:dyDescent="0.2">
      <c r="A56" s="1261" t="s">
        <v>2097</v>
      </c>
      <c r="B56" s="281"/>
      <c r="C56" s="1249"/>
      <c r="D56" s="1249"/>
      <c r="E56" s="1262"/>
      <c r="K56" s="1262"/>
    </row>
    <row r="57" spans="1:19" s="404" customFormat="1" x14ac:dyDescent="0.2">
      <c r="A57" s="1257" t="s">
        <v>1298</v>
      </c>
      <c r="B57" s="281"/>
      <c r="C57" s="1132">
        <v>79744044</v>
      </c>
      <c r="D57" s="1249" t="s">
        <v>1712</v>
      </c>
      <c r="E57" s="631">
        <v>79749191</v>
      </c>
      <c r="F57" s="404" t="s">
        <v>1712</v>
      </c>
      <c r="G57" s="768"/>
      <c r="I57" s="768"/>
      <c r="K57" s="631"/>
      <c r="M57" s="928"/>
      <c r="R57" s="1271"/>
      <c r="S57" s="778"/>
    </row>
    <row r="58" spans="1:19" s="404" customFormat="1" x14ac:dyDescent="0.2">
      <c r="A58" s="1257" t="s">
        <v>2098</v>
      </c>
      <c r="B58" s="281"/>
      <c r="C58" s="1132">
        <v>8882151</v>
      </c>
      <c r="D58" s="1249" t="s">
        <v>1712</v>
      </c>
      <c r="E58" s="631">
        <v>8812884</v>
      </c>
      <c r="F58" s="404" t="s">
        <v>1712</v>
      </c>
      <c r="G58" s="768"/>
      <c r="I58" s="768"/>
      <c r="K58" s="631"/>
      <c r="M58" s="928"/>
      <c r="R58" s="1271"/>
      <c r="S58" s="778"/>
    </row>
    <row r="59" spans="1:19" s="404" customFormat="1" x14ac:dyDescent="0.2">
      <c r="A59" s="1257" t="s">
        <v>2020</v>
      </c>
      <c r="B59" s="281"/>
      <c r="C59" s="1132">
        <v>17873044</v>
      </c>
      <c r="D59" s="1249"/>
      <c r="E59" s="631">
        <v>19332215</v>
      </c>
      <c r="G59" s="768"/>
      <c r="I59" s="768"/>
      <c r="K59" s="631"/>
      <c r="M59" s="928"/>
      <c r="R59" s="1271"/>
      <c r="S59" s="778"/>
    </row>
    <row r="60" spans="1:19" s="404" customFormat="1" x14ac:dyDescent="0.2">
      <c r="A60" s="1257" t="s">
        <v>2021</v>
      </c>
      <c r="B60" s="281"/>
      <c r="C60" s="1132">
        <v>19654897</v>
      </c>
      <c r="D60" s="1249"/>
      <c r="E60" s="631">
        <v>19576192</v>
      </c>
      <c r="G60" s="768"/>
      <c r="I60" s="768"/>
      <c r="K60" s="631"/>
      <c r="M60" s="928"/>
      <c r="R60" s="1271"/>
      <c r="S60" s="778"/>
    </row>
    <row r="61" spans="1:19" s="404" customFormat="1" x14ac:dyDescent="0.2">
      <c r="A61" s="1257" t="s">
        <v>2022</v>
      </c>
      <c r="B61" s="281"/>
      <c r="C61" s="1132">
        <v>35269604</v>
      </c>
      <c r="D61" s="1249"/>
      <c r="E61" s="631">
        <v>35275530</v>
      </c>
      <c r="G61" s="768"/>
      <c r="I61" s="768"/>
      <c r="K61" s="631"/>
      <c r="M61" s="928"/>
      <c r="R61" s="1271"/>
      <c r="S61" s="778"/>
    </row>
    <row r="62" spans="1:19" s="404" customFormat="1" x14ac:dyDescent="0.2">
      <c r="A62" s="1257" t="s">
        <v>2023</v>
      </c>
      <c r="B62" s="281"/>
      <c r="C62" s="1132">
        <v>20187875</v>
      </c>
      <c r="D62" s="1249"/>
      <c r="E62" s="631">
        <v>20838844</v>
      </c>
      <c r="G62" s="768"/>
      <c r="I62" s="768"/>
      <c r="K62" s="631"/>
      <c r="M62" s="928"/>
      <c r="R62" s="1271"/>
      <c r="S62" s="778"/>
    </row>
    <row r="63" spans="1:19" s="404" customFormat="1" x14ac:dyDescent="0.2">
      <c r="A63" s="1269"/>
      <c r="B63" s="281"/>
      <c r="C63" s="1249"/>
      <c r="D63" s="1249"/>
      <c r="E63" s="1262"/>
      <c r="K63" s="1262"/>
    </row>
    <row r="64" spans="1:19" s="273" customFormat="1" x14ac:dyDescent="0.2">
      <c r="A64" s="46" t="s">
        <v>194</v>
      </c>
      <c r="B64" s="47"/>
      <c r="C64" s="1249"/>
      <c r="D64" s="1249"/>
      <c r="E64" s="1270"/>
      <c r="K64" s="1270"/>
      <c r="M64" s="1272"/>
    </row>
    <row r="65" spans="1:17" s="273" customFormat="1" x14ac:dyDescent="0.2">
      <c r="A65" s="46" t="s">
        <v>195</v>
      </c>
      <c r="B65" s="47"/>
      <c r="C65" s="1249"/>
      <c r="D65" s="1249"/>
      <c r="E65" s="1270"/>
      <c r="K65" s="1270"/>
    </row>
    <row r="66" spans="1:17" s="404" customFormat="1" x14ac:dyDescent="0.2">
      <c r="A66" s="1257" t="s">
        <v>2030</v>
      </c>
      <c r="B66" s="281"/>
      <c r="C66" s="1137">
        <v>1111</v>
      </c>
      <c r="D66" s="1249"/>
      <c r="E66" s="393">
        <v>1111</v>
      </c>
      <c r="G66" s="262">
        <v>1111</v>
      </c>
      <c r="I66" s="393">
        <v>1111</v>
      </c>
      <c r="K66" s="393">
        <v>1111</v>
      </c>
      <c r="M66" s="393"/>
    </row>
    <row r="67" spans="1:17" s="273" customFormat="1" x14ac:dyDescent="0.2">
      <c r="A67" s="46"/>
      <c r="B67" s="47"/>
      <c r="C67" s="1249"/>
      <c r="D67" s="1249"/>
      <c r="E67" s="1270"/>
    </row>
    <row r="68" spans="1:17" s="786" customFormat="1" x14ac:dyDescent="0.2">
      <c r="A68" s="46"/>
      <c r="B68" s="47"/>
    </row>
    <row r="69" spans="1:17" s="786" customFormat="1" x14ac:dyDescent="0.2">
      <c r="A69" s="1273" t="s">
        <v>200</v>
      </c>
      <c r="B69" s="788"/>
      <c r="C69" s="1274"/>
      <c r="D69" s="1275"/>
      <c r="E69" s="1276"/>
      <c r="F69" s="1275"/>
      <c r="G69" s="1276"/>
      <c r="H69" s="1275"/>
      <c r="I69" s="1276"/>
      <c r="J69" s="1275"/>
      <c r="K69" s="1276"/>
      <c r="L69" s="1275"/>
      <c r="M69" s="1274"/>
      <c r="N69" s="1275"/>
    </row>
    <row r="70" spans="1:17" ht="12.75" customHeight="1" x14ac:dyDescent="0.2">
      <c r="A70" s="1825" t="s">
        <v>2162</v>
      </c>
      <c r="B70" s="1793"/>
      <c r="C70" s="1794"/>
      <c r="D70" s="1793"/>
      <c r="E70" s="1794"/>
      <c r="F70" s="1793"/>
      <c r="G70" s="1794"/>
      <c r="H70" s="1793"/>
      <c r="I70" s="1794"/>
      <c r="J70" s="1793"/>
      <c r="K70" s="1794"/>
      <c r="L70" s="1793"/>
      <c r="M70" s="1794"/>
      <c r="N70" s="1793"/>
      <c r="O70" s="789"/>
      <c r="P70" s="789"/>
      <c r="Q70" s="791"/>
    </row>
    <row r="71" spans="1:17" ht="12.75" customHeight="1" x14ac:dyDescent="0.2">
      <c r="A71" s="1825" t="s">
        <v>2163</v>
      </c>
      <c r="B71" s="1793"/>
      <c r="C71" s="1794"/>
      <c r="D71" s="1793"/>
      <c r="E71" s="1794"/>
      <c r="F71" s="1793"/>
      <c r="G71" s="1794"/>
      <c r="H71" s="1793"/>
      <c r="I71" s="1794"/>
      <c r="J71" s="1793"/>
      <c r="K71" s="1794"/>
      <c r="L71" s="1793"/>
      <c r="M71" s="1794"/>
      <c r="N71" s="1793"/>
      <c r="O71" s="789"/>
      <c r="P71" s="789"/>
    </row>
    <row r="72" spans="1:17" ht="12.75" customHeight="1" x14ac:dyDescent="0.2">
      <c r="A72" s="1827" t="s">
        <v>2164</v>
      </c>
      <c r="B72" s="1793"/>
      <c r="C72" s="1794"/>
      <c r="D72" s="1793"/>
      <c r="E72" s="1794"/>
      <c r="F72" s="1793"/>
      <c r="G72" s="1794"/>
      <c r="H72" s="1793"/>
      <c r="I72" s="1794"/>
      <c r="J72" s="1793"/>
      <c r="K72" s="1794"/>
      <c r="L72" s="1793"/>
      <c r="M72" s="1794"/>
      <c r="N72" s="1793"/>
      <c r="O72" s="789"/>
      <c r="P72" s="789"/>
    </row>
    <row r="73" spans="1:17" ht="12.75" customHeight="1" x14ac:dyDescent="0.2">
      <c r="A73" s="1825" t="s">
        <v>2165</v>
      </c>
      <c r="B73" s="1793"/>
      <c r="C73" s="1794"/>
      <c r="D73" s="1793"/>
      <c r="E73" s="1794"/>
      <c r="F73" s="1793"/>
      <c r="G73" s="1794"/>
      <c r="H73" s="1793"/>
      <c r="I73" s="1794"/>
      <c r="J73" s="1793"/>
      <c r="K73" s="1794"/>
      <c r="L73" s="1793"/>
      <c r="M73" s="1794"/>
      <c r="N73" s="1793"/>
      <c r="O73" s="789"/>
      <c r="P73" s="789"/>
    </row>
    <row r="74" spans="1:17" ht="27.75" customHeight="1" x14ac:dyDescent="0.2">
      <c r="A74" s="1826" t="s">
        <v>3064</v>
      </c>
      <c r="B74" s="1793"/>
      <c r="C74" s="1794"/>
      <c r="D74" s="1793"/>
      <c r="E74" s="1794"/>
      <c r="F74" s="1793"/>
      <c r="G74" s="1794"/>
      <c r="H74" s="1793"/>
      <c r="I74" s="1794"/>
      <c r="J74" s="1793"/>
      <c r="K74" s="1794"/>
      <c r="L74" s="1793"/>
      <c r="M74" s="1794"/>
      <c r="N74" s="1793"/>
      <c r="O74" s="789"/>
      <c r="P74" s="789"/>
    </row>
    <row r="75" spans="1:17" x14ac:dyDescent="0.2">
      <c r="A75" s="1826" t="s">
        <v>3065</v>
      </c>
      <c r="B75" s="1793"/>
      <c r="C75" s="1794"/>
      <c r="D75" s="1793"/>
      <c r="E75" s="1794"/>
      <c r="F75" s="1793"/>
      <c r="G75" s="1794"/>
      <c r="H75" s="1793"/>
      <c r="I75" s="1794"/>
      <c r="J75" s="1793"/>
      <c r="K75" s="1794"/>
      <c r="L75" s="1793"/>
      <c r="M75" s="1794"/>
      <c r="N75" s="1793"/>
      <c r="O75" s="789"/>
      <c r="P75" s="789"/>
    </row>
    <row r="76" spans="1:17" ht="27.75" customHeight="1" x14ac:dyDescent="0.2">
      <c r="A76" s="1825" t="s">
        <v>3066</v>
      </c>
      <c r="B76" s="1825"/>
      <c r="C76" s="1825"/>
      <c r="D76" s="1825"/>
      <c r="E76" s="1825"/>
      <c r="F76" s="1825"/>
      <c r="G76" s="1825"/>
      <c r="H76" s="1825"/>
      <c r="I76" s="1825"/>
      <c r="J76" s="1825"/>
      <c r="K76" s="1825"/>
      <c r="L76" s="1825"/>
      <c r="M76" s="1825"/>
      <c r="N76" s="1825"/>
      <c r="O76" s="789"/>
      <c r="P76" s="789"/>
    </row>
    <row r="77" spans="1:17" ht="27.75" customHeight="1" x14ac:dyDescent="0.2">
      <c r="A77" s="1826"/>
      <c r="B77" s="1793"/>
      <c r="C77" s="1794"/>
      <c r="D77" s="1793"/>
      <c r="E77" s="1794"/>
      <c r="F77" s="1793"/>
      <c r="G77" s="1794"/>
      <c r="H77" s="1793"/>
      <c r="I77" s="1794"/>
      <c r="J77" s="1793"/>
      <c r="K77" s="1794"/>
      <c r="L77" s="1793"/>
      <c r="M77" s="1794"/>
      <c r="N77" s="1793"/>
      <c r="O77" s="789"/>
      <c r="P77" s="789"/>
    </row>
    <row r="78" spans="1:17" x14ac:dyDescent="0.2">
      <c r="A78" s="1277"/>
      <c r="B78" s="789"/>
      <c r="C78" s="1278"/>
      <c r="D78" s="789"/>
      <c r="E78" s="1278"/>
      <c r="F78" s="789"/>
      <c r="G78" s="1278"/>
      <c r="H78" s="789"/>
      <c r="I78" s="1278"/>
      <c r="J78" s="789"/>
      <c r="K78" s="1278"/>
      <c r="L78" s="789"/>
      <c r="M78" s="1278"/>
      <c r="N78" s="789"/>
      <c r="O78" s="789"/>
      <c r="P78" s="789"/>
    </row>
    <row r="79" spans="1:17" x14ac:dyDescent="0.2">
      <c r="A79" s="1277"/>
      <c r="B79" s="789"/>
      <c r="C79" s="789"/>
      <c r="D79" s="789"/>
      <c r="E79" s="789"/>
      <c r="F79" s="789"/>
      <c r="G79" s="789"/>
      <c r="H79" s="789"/>
      <c r="I79" s="789"/>
      <c r="J79" s="789"/>
      <c r="K79" s="789"/>
      <c r="L79" s="789"/>
      <c r="M79" s="789"/>
      <c r="N79" s="789"/>
      <c r="O79" s="789"/>
      <c r="P79" s="789"/>
    </row>
    <row r="80" spans="1:17" x14ac:dyDescent="0.2">
      <c r="A80" s="1277"/>
      <c r="B80" s="789"/>
      <c r="C80" s="1278"/>
      <c r="D80" s="789"/>
      <c r="E80" s="1278"/>
      <c r="F80" s="789"/>
      <c r="G80" s="1278"/>
      <c r="H80" s="789"/>
      <c r="I80" s="1278"/>
      <c r="J80" s="789"/>
      <c r="K80" s="1278"/>
      <c r="L80" s="789"/>
      <c r="M80" s="1278"/>
      <c r="N80" s="789"/>
      <c r="O80" s="789"/>
      <c r="P80" s="789"/>
    </row>
    <row r="81" spans="1:17" x14ac:dyDescent="0.2">
      <c r="A81" s="1277"/>
      <c r="B81" s="789"/>
      <c r="C81" s="789"/>
      <c r="D81" s="789"/>
      <c r="E81" s="789"/>
      <c r="F81" s="789"/>
      <c r="G81" s="789"/>
      <c r="H81" s="789"/>
      <c r="I81" s="789"/>
      <c r="J81" s="789"/>
      <c r="K81" s="789"/>
      <c r="L81" s="789"/>
      <c r="M81" s="789"/>
      <c r="N81" s="789"/>
      <c r="O81" s="789"/>
      <c r="P81" s="789"/>
    </row>
    <row r="82" spans="1:17" x14ac:dyDescent="0.2">
      <c r="A82" s="1277"/>
      <c r="B82" s="789"/>
      <c r="C82" s="1278"/>
      <c r="D82" s="789"/>
      <c r="E82" s="1278"/>
      <c r="F82" s="789"/>
      <c r="G82" s="1278"/>
      <c r="H82" s="789"/>
      <c r="I82" s="1278"/>
      <c r="J82" s="789"/>
      <c r="K82" s="1278"/>
      <c r="L82" s="789"/>
      <c r="M82" s="1278"/>
      <c r="N82" s="789"/>
      <c r="O82" s="789"/>
      <c r="P82" s="789"/>
    </row>
    <row r="83" spans="1:17" x14ac:dyDescent="0.2">
      <c r="A83" s="1277"/>
      <c r="B83" s="789"/>
      <c r="C83" s="1279"/>
      <c r="D83" s="789"/>
      <c r="E83" s="1279"/>
      <c r="F83" s="789"/>
      <c r="G83" s="1279"/>
      <c r="H83" s="789"/>
      <c r="I83" s="1279"/>
      <c r="J83" s="789"/>
      <c r="K83" s="1279"/>
      <c r="L83" s="789"/>
      <c r="M83" s="1279"/>
      <c r="N83" s="789"/>
      <c r="O83" s="789"/>
      <c r="P83" s="789"/>
    </row>
    <row r="84" spans="1:17" x14ac:dyDescent="0.2">
      <c r="A84" s="1277"/>
      <c r="B84" s="789"/>
      <c r="C84" s="789"/>
      <c r="D84" s="789"/>
      <c r="E84" s="789"/>
      <c r="F84" s="789"/>
      <c r="G84" s="789"/>
      <c r="H84" s="789"/>
      <c r="I84" s="789"/>
      <c r="J84" s="789"/>
      <c r="K84" s="789"/>
      <c r="L84" s="789"/>
      <c r="M84" s="789"/>
      <c r="N84" s="789"/>
      <c r="O84" s="789"/>
      <c r="P84" s="789"/>
    </row>
    <row r="85" spans="1:17" x14ac:dyDescent="0.2">
      <c r="A85" s="1277"/>
      <c r="B85" s="789"/>
      <c r="C85" s="789"/>
      <c r="D85" s="789"/>
      <c r="E85" s="789"/>
      <c r="F85" s="789"/>
      <c r="G85" s="789"/>
      <c r="H85" s="789"/>
      <c r="I85" s="789"/>
      <c r="J85" s="789"/>
      <c r="K85" s="789"/>
      <c r="L85" s="789"/>
      <c r="M85" s="789"/>
      <c r="N85" s="789"/>
      <c r="O85" s="789"/>
      <c r="P85" s="789"/>
      <c r="Q85" s="1280"/>
    </row>
    <row r="86" spans="1:17" x14ac:dyDescent="0.2">
      <c r="B86" s="722"/>
      <c r="C86" s="722"/>
      <c r="D86" s="722"/>
      <c r="E86" s="1281"/>
      <c r="F86" s="1281"/>
      <c r="G86" s="1281"/>
      <c r="H86" s="1281"/>
    </row>
    <row r="87" spans="1:17" x14ac:dyDescent="0.2">
      <c r="B87" s="722"/>
      <c r="C87" s="722"/>
      <c r="D87" s="722"/>
      <c r="E87" s="1281"/>
      <c r="F87" s="1281"/>
      <c r="G87" s="1281"/>
      <c r="H87" s="1281"/>
    </row>
    <row r="88" spans="1:17" x14ac:dyDescent="0.2">
      <c r="B88" s="722"/>
      <c r="C88" s="722"/>
      <c r="D88" s="722"/>
      <c r="E88" s="1281"/>
      <c r="F88" s="1281"/>
      <c r="G88" s="1281"/>
      <c r="H88" s="1281"/>
    </row>
    <row r="89" spans="1:17" x14ac:dyDescent="0.2">
      <c r="B89" s="722"/>
      <c r="C89" s="722"/>
      <c r="D89" s="722"/>
      <c r="E89" s="1281"/>
      <c r="F89" s="1281"/>
      <c r="G89" s="1281"/>
      <c r="H89" s="1281"/>
    </row>
    <row r="90" spans="1:17" x14ac:dyDescent="0.2">
      <c r="B90" s="722"/>
      <c r="C90" s="722"/>
      <c r="D90" s="722"/>
      <c r="E90" s="1281"/>
      <c r="F90" s="1281"/>
      <c r="G90" s="1281"/>
      <c r="H90" s="1281"/>
    </row>
    <row r="91" spans="1:17" x14ac:dyDescent="0.2">
      <c r="B91" s="722"/>
      <c r="C91" s="722"/>
      <c r="D91" s="722"/>
      <c r="E91" s="1281"/>
      <c r="F91" s="1281"/>
      <c r="G91" s="1281"/>
      <c r="H91" s="1281"/>
    </row>
    <row r="92" spans="1:17" x14ac:dyDescent="0.2">
      <c r="B92" s="722"/>
      <c r="C92" s="722"/>
      <c r="D92" s="722"/>
      <c r="E92" s="1281"/>
      <c r="F92" s="1281"/>
      <c r="G92" s="1281"/>
      <c r="H92" s="1281"/>
    </row>
    <row r="93" spans="1:17" x14ac:dyDescent="0.2">
      <c r="B93" s="722"/>
      <c r="C93" s="722"/>
      <c r="D93" s="722"/>
      <c r="E93" s="1281"/>
      <c r="F93" s="1281"/>
      <c r="G93" s="1281"/>
      <c r="H93" s="1281"/>
    </row>
    <row r="94" spans="1:17" x14ac:dyDescent="0.2">
      <c r="B94" s="722"/>
      <c r="C94" s="722"/>
      <c r="D94" s="722"/>
      <c r="E94" s="1281"/>
      <c r="F94" s="1281"/>
      <c r="G94" s="1281"/>
      <c r="H94" s="1281"/>
    </row>
    <row r="95" spans="1:17" x14ac:dyDescent="0.2">
      <c r="B95" s="722"/>
      <c r="C95" s="722"/>
      <c r="D95" s="722"/>
      <c r="E95" s="1281"/>
      <c r="F95" s="1281"/>
      <c r="G95" s="1281"/>
      <c r="H95" s="1281"/>
    </row>
    <row r="96" spans="1:17" x14ac:dyDescent="0.2">
      <c r="B96" s="722"/>
      <c r="C96" s="722"/>
      <c r="D96" s="722"/>
      <c r="E96" s="1281"/>
      <c r="F96" s="1281"/>
      <c r="G96" s="1281"/>
      <c r="H96" s="1281"/>
    </row>
    <row r="97" spans="2:8" x14ac:dyDescent="0.2">
      <c r="B97" s="722"/>
      <c r="C97" s="722"/>
      <c r="D97" s="722"/>
      <c r="E97" s="1281"/>
      <c r="F97" s="1281"/>
      <c r="G97" s="1281"/>
      <c r="H97" s="1281"/>
    </row>
    <row r="98" spans="2:8" x14ac:dyDescent="0.2">
      <c r="B98" s="722"/>
      <c r="C98" s="722"/>
      <c r="D98" s="722"/>
      <c r="E98" s="1281"/>
      <c r="F98" s="1281"/>
      <c r="G98" s="1281"/>
      <c r="H98" s="1281"/>
    </row>
    <row r="99" spans="2:8" x14ac:dyDescent="0.2">
      <c r="B99" s="722"/>
      <c r="C99" s="722"/>
      <c r="D99" s="722"/>
      <c r="E99" s="1281"/>
      <c r="F99" s="1281"/>
      <c r="G99" s="1281"/>
      <c r="H99" s="1281"/>
    </row>
    <row r="100" spans="2:8" x14ac:dyDescent="0.2">
      <c r="B100" s="722"/>
      <c r="C100" s="722"/>
      <c r="D100" s="722"/>
      <c r="E100" s="1281"/>
      <c r="F100" s="1281"/>
      <c r="G100" s="1281"/>
      <c r="H100" s="1281"/>
    </row>
    <row r="101" spans="2:8" x14ac:dyDescent="0.2">
      <c r="B101" s="722"/>
      <c r="C101" s="722"/>
      <c r="D101" s="722"/>
      <c r="E101" s="1281"/>
      <c r="F101" s="1281"/>
      <c r="G101" s="1281"/>
      <c r="H101" s="1281"/>
    </row>
    <row r="102" spans="2:8" x14ac:dyDescent="0.2">
      <c r="B102" s="722"/>
      <c r="C102" s="722"/>
      <c r="D102" s="722"/>
      <c r="E102" s="1281"/>
      <c r="F102" s="1281"/>
      <c r="G102" s="1281"/>
      <c r="H102" s="1281"/>
    </row>
    <row r="103" spans="2:8" x14ac:dyDescent="0.2">
      <c r="B103" s="722"/>
      <c r="C103" s="722"/>
      <c r="D103" s="722"/>
      <c r="E103" s="1281"/>
      <c r="F103" s="1281"/>
      <c r="G103" s="1281"/>
      <c r="H103" s="1281"/>
    </row>
    <row r="104" spans="2:8" x14ac:dyDescent="0.2">
      <c r="B104" s="722"/>
      <c r="C104" s="722"/>
      <c r="D104" s="722"/>
      <c r="E104" s="1281"/>
      <c r="F104" s="1281"/>
      <c r="G104" s="1281"/>
      <c r="H104" s="1281"/>
    </row>
    <row r="105" spans="2:8" x14ac:dyDescent="0.2">
      <c r="B105" s="722"/>
      <c r="C105" s="722"/>
      <c r="D105" s="722"/>
      <c r="E105" s="1281"/>
      <c r="F105" s="1281"/>
      <c r="G105" s="1281"/>
      <c r="H105" s="1281"/>
    </row>
    <row r="106" spans="2:8" x14ac:dyDescent="0.2">
      <c r="B106" s="722"/>
      <c r="C106" s="722"/>
      <c r="D106" s="722"/>
      <c r="E106" s="1281"/>
      <c r="F106" s="1281"/>
      <c r="G106" s="1281"/>
      <c r="H106" s="1281"/>
    </row>
    <row r="107" spans="2:8" x14ac:dyDescent="0.2">
      <c r="B107" s="722"/>
      <c r="C107" s="722"/>
      <c r="D107" s="722"/>
      <c r="E107" s="1281"/>
      <c r="F107" s="1281"/>
      <c r="G107" s="1281"/>
      <c r="H107" s="1281"/>
    </row>
    <row r="108" spans="2:8" x14ac:dyDescent="0.2">
      <c r="B108" s="722"/>
      <c r="C108" s="722"/>
      <c r="D108" s="722"/>
      <c r="E108" s="1281"/>
      <c r="F108" s="1281"/>
      <c r="G108" s="1281"/>
      <c r="H108" s="1281"/>
    </row>
    <row r="109" spans="2:8" x14ac:dyDescent="0.2">
      <c r="B109" s="722"/>
      <c r="C109" s="722"/>
      <c r="D109" s="722"/>
      <c r="E109" s="1281"/>
      <c r="F109" s="1281"/>
      <c r="G109" s="1281"/>
      <c r="H109" s="1281"/>
    </row>
    <row r="110" spans="2:8" x14ac:dyDescent="0.2">
      <c r="B110" s="722"/>
      <c r="C110" s="722"/>
      <c r="D110" s="722"/>
      <c r="E110" s="1281"/>
      <c r="F110" s="1281"/>
      <c r="G110" s="1281"/>
      <c r="H110" s="1281"/>
    </row>
    <row r="111" spans="2:8" x14ac:dyDescent="0.2">
      <c r="B111" s="722"/>
      <c r="C111" s="722"/>
      <c r="D111" s="722"/>
      <c r="E111" s="1281"/>
      <c r="F111" s="1281"/>
      <c r="G111" s="1281"/>
      <c r="H111" s="1281"/>
    </row>
    <row r="112" spans="2:8" x14ac:dyDescent="0.2">
      <c r="B112" s="722"/>
      <c r="C112" s="722"/>
      <c r="D112" s="722"/>
      <c r="E112" s="1281"/>
      <c r="F112" s="1281"/>
      <c r="G112" s="1281"/>
      <c r="H112" s="1281"/>
    </row>
    <row r="113" spans="2:8" x14ac:dyDescent="0.2">
      <c r="B113" s="722"/>
      <c r="C113" s="722"/>
      <c r="D113" s="722"/>
      <c r="E113" s="1281"/>
      <c r="F113" s="1281"/>
      <c r="G113" s="1281"/>
      <c r="H113" s="1281"/>
    </row>
    <row r="114" spans="2:8" x14ac:dyDescent="0.2">
      <c r="B114" s="722"/>
      <c r="C114" s="722"/>
      <c r="D114" s="722"/>
      <c r="E114" s="1281"/>
      <c r="F114" s="1281"/>
      <c r="G114" s="1281"/>
      <c r="H114" s="1281"/>
    </row>
    <row r="115" spans="2:8" x14ac:dyDescent="0.2">
      <c r="B115" s="722"/>
    </row>
    <row r="116" spans="2:8" x14ac:dyDescent="0.2">
      <c r="B116" s="722"/>
    </row>
    <row r="117" spans="2:8" x14ac:dyDescent="0.2">
      <c r="B117" s="722"/>
    </row>
    <row r="118" spans="2:8" x14ac:dyDescent="0.2">
      <c r="B118" s="722"/>
    </row>
    <row r="119" spans="2:8" x14ac:dyDescent="0.2">
      <c r="B119" s="722"/>
    </row>
    <row r="120" spans="2:8" x14ac:dyDescent="0.2">
      <c r="B120" s="722"/>
    </row>
    <row r="121" spans="2:8" x14ac:dyDescent="0.2">
      <c r="B121" s="722"/>
    </row>
    <row r="122" spans="2:8" x14ac:dyDescent="0.2">
      <c r="B122" s="722"/>
    </row>
    <row r="123" spans="2:8" x14ac:dyDescent="0.2">
      <c r="B123" s="722"/>
    </row>
    <row r="124" spans="2:8" x14ac:dyDescent="0.2">
      <c r="B124" s="722"/>
    </row>
    <row r="125" spans="2:8" x14ac:dyDescent="0.2">
      <c r="B125" s="722"/>
    </row>
    <row r="126" spans="2:8" x14ac:dyDescent="0.2">
      <c r="B126" s="722"/>
    </row>
    <row r="127" spans="2:8" x14ac:dyDescent="0.2">
      <c r="B127" s="722"/>
    </row>
    <row r="128" spans="2:8" x14ac:dyDescent="0.2">
      <c r="B128" s="722"/>
    </row>
    <row r="129" spans="2:2" x14ac:dyDescent="0.2">
      <c r="B129" s="722"/>
    </row>
    <row r="130" spans="2:2" x14ac:dyDescent="0.2">
      <c r="B130" s="722"/>
    </row>
    <row r="131" spans="2:2" x14ac:dyDescent="0.2">
      <c r="B131" s="722"/>
    </row>
  </sheetData>
  <mergeCells count="9">
    <mergeCell ref="A76:N76"/>
    <mergeCell ref="A77:N77"/>
    <mergeCell ref="K2:K3"/>
    <mergeCell ref="A70:N70"/>
    <mergeCell ref="A71:N71"/>
    <mergeCell ref="A72:N72"/>
    <mergeCell ref="A73:N73"/>
    <mergeCell ref="A74:N74"/>
    <mergeCell ref="A75:N75"/>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1" right="0.25" top="1" bottom="0.25" header="0.5" footer="0.25"/>
  <pageSetup scale="65" fitToHeight="99" pageOrder="overThenDown" orientation="portrait" r:id="rId1"/>
  <headerFooter alignWithMargins="0">
    <oddFooter>&amp;RBB-104</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2">
    <pageSetUpPr fitToPage="1"/>
  </sheetPr>
  <dimension ref="A1:R130"/>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2.2851562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175</v>
      </c>
      <c r="B1" s="2">
        <v>2019</v>
      </c>
      <c r="C1" s="3"/>
      <c r="E1" s="3"/>
      <c r="I1" s="5"/>
      <c r="J1" s="6"/>
      <c r="K1" s="5"/>
      <c r="L1" s="6"/>
      <c r="M1" s="5"/>
      <c r="N1" s="6"/>
    </row>
    <row r="2" spans="1:16" s="4" customFormat="1" ht="15.75" x14ac:dyDescent="0.25">
      <c r="A2" s="1" t="s">
        <v>175</v>
      </c>
      <c r="B2" s="7" t="s">
        <v>176</v>
      </c>
      <c r="C2" s="7" t="s">
        <v>0</v>
      </c>
      <c r="D2" s="6"/>
      <c r="E2" s="1282"/>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
      <c r="L4" s="6"/>
      <c r="M4" s="11"/>
      <c r="N4" s="6"/>
    </row>
    <row r="5" spans="1:16" s="4" customFormat="1" ht="15.75" x14ac:dyDescent="0.2">
      <c r="A5" s="1" t="s">
        <v>183</v>
      </c>
      <c r="B5" s="12" t="s">
        <v>2172</v>
      </c>
      <c r="C5" s="12" t="s">
        <v>106</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c r="E10" s="87"/>
      <c r="F10" s="87"/>
    </row>
    <row r="11" spans="1:16" s="37" customFormat="1" x14ac:dyDescent="0.2">
      <c r="A11" s="35" t="s">
        <v>1968</v>
      </c>
      <c r="B11" s="36"/>
      <c r="C11" s="87"/>
      <c r="D11" s="87"/>
      <c r="E11" s="87"/>
      <c r="F11" s="87"/>
    </row>
    <row r="12" spans="1:16" s="40" customFormat="1" x14ac:dyDescent="0.2">
      <c r="A12" s="38" t="s">
        <v>1969</v>
      </c>
      <c r="B12" s="39"/>
      <c r="C12" s="76">
        <v>20465</v>
      </c>
      <c r="D12" s="76"/>
      <c r="E12" s="76">
        <v>20987</v>
      </c>
      <c r="F12" s="76"/>
      <c r="G12" s="76">
        <v>21092</v>
      </c>
      <c r="H12" s="76"/>
      <c r="I12" s="76">
        <v>21013</v>
      </c>
      <c r="J12" s="76"/>
      <c r="K12" s="76">
        <v>21076</v>
      </c>
      <c r="M12" s="76"/>
    </row>
    <row r="13" spans="1:16" s="40" customFormat="1" x14ac:dyDescent="0.2">
      <c r="A13" s="38" t="s">
        <v>1970</v>
      </c>
      <c r="B13" s="39"/>
      <c r="C13" s="76">
        <v>16759</v>
      </c>
      <c r="D13" s="76"/>
      <c r="E13" s="76">
        <v>17026</v>
      </c>
      <c r="F13" s="76"/>
      <c r="G13" s="76">
        <v>17199</v>
      </c>
      <c r="H13" s="76"/>
      <c r="I13" s="76">
        <v>17055</v>
      </c>
      <c r="J13" s="76"/>
      <c r="K13" s="76">
        <v>17131</v>
      </c>
      <c r="M13" s="76"/>
    </row>
    <row r="14" spans="1:16" s="40" customFormat="1" x14ac:dyDescent="0.2">
      <c r="A14" s="41" t="s">
        <v>1971</v>
      </c>
      <c r="B14" s="39"/>
      <c r="C14" s="76">
        <v>16336</v>
      </c>
      <c r="D14" s="76"/>
      <c r="E14" s="76">
        <v>16810</v>
      </c>
      <c r="F14" s="76"/>
      <c r="G14" s="76">
        <v>16894</v>
      </c>
      <c r="H14" s="76"/>
      <c r="I14" s="76">
        <v>16852</v>
      </c>
      <c r="J14" s="76"/>
      <c r="K14" s="76">
        <v>16915</v>
      </c>
      <c r="M14" s="76"/>
    </row>
    <row r="15" spans="1:16" s="118" customFormat="1" x14ac:dyDescent="0.2">
      <c r="A15" s="124" t="s">
        <v>1972</v>
      </c>
      <c r="B15" s="117"/>
      <c r="C15" s="76">
        <v>14470</v>
      </c>
      <c r="D15" s="76"/>
      <c r="E15" s="76">
        <v>14736</v>
      </c>
      <c r="F15" s="76"/>
      <c r="G15" s="76">
        <v>14899</v>
      </c>
      <c r="H15" s="76"/>
      <c r="I15" s="76">
        <v>14733</v>
      </c>
      <c r="J15" s="76"/>
      <c r="K15" s="76">
        <v>14809</v>
      </c>
      <c r="M15" s="112"/>
    </row>
    <row r="16" spans="1:16" s="40" customFormat="1" x14ac:dyDescent="0.2">
      <c r="A16" s="90" t="s">
        <v>1973</v>
      </c>
      <c r="B16" s="39"/>
      <c r="C16" s="76">
        <v>14433</v>
      </c>
      <c r="D16" s="76"/>
      <c r="E16" s="76">
        <v>14968</v>
      </c>
      <c r="F16" s="76"/>
      <c r="G16" s="76">
        <v>15043</v>
      </c>
      <c r="H16" s="76"/>
      <c r="I16" s="76">
        <v>14944</v>
      </c>
      <c r="J16" s="76"/>
      <c r="K16" s="76">
        <v>15135</v>
      </c>
      <c r="M16" s="112"/>
    </row>
    <row r="17" spans="1:13" s="118" customFormat="1" x14ac:dyDescent="0.2">
      <c r="A17" s="94" t="s">
        <v>2173</v>
      </c>
      <c r="B17" s="117"/>
      <c r="C17" s="76">
        <v>13600</v>
      </c>
      <c r="D17" s="76"/>
      <c r="E17" s="76">
        <v>13937</v>
      </c>
      <c r="F17" s="76"/>
      <c r="G17" s="76">
        <v>14096</v>
      </c>
      <c r="H17" s="76"/>
      <c r="I17" s="76">
        <v>13884</v>
      </c>
      <c r="J17" s="76"/>
      <c r="K17" s="76">
        <v>14010</v>
      </c>
      <c r="M17" s="112"/>
    </row>
    <row r="18" spans="1:13" s="40" customFormat="1" x14ac:dyDescent="0.2">
      <c r="A18" s="90" t="s">
        <v>1975</v>
      </c>
      <c r="B18" s="39"/>
      <c r="C18" s="76">
        <v>1903</v>
      </c>
      <c r="D18" s="76"/>
      <c r="E18" s="76">
        <v>1842</v>
      </c>
      <c r="F18" s="76"/>
      <c r="G18" s="76">
        <v>1851</v>
      </c>
      <c r="H18" s="76"/>
      <c r="I18" s="76">
        <v>1908</v>
      </c>
      <c r="J18" s="76"/>
      <c r="K18" s="76">
        <v>1780</v>
      </c>
      <c r="M18" s="112"/>
    </row>
    <row r="19" spans="1:13" s="118" customFormat="1" x14ac:dyDescent="0.2">
      <c r="A19" s="94" t="s">
        <v>2174</v>
      </c>
      <c r="B19" s="117"/>
      <c r="C19" s="76">
        <v>870</v>
      </c>
      <c r="D19" s="76"/>
      <c r="E19" s="76">
        <v>799</v>
      </c>
      <c r="F19" s="76"/>
      <c r="G19" s="76">
        <v>803</v>
      </c>
      <c r="H19" s="76"/>
      <c r="I19" s="76">
        <v>849</v>
      </c>
      <c r="J19" s="76"/>
      <c r="K19" s="76">
        <v>799</v>
      </c>
      <c r="M19" s="112"/>
    </row>
    <row r="20" spans="1:13" s="40" customFormat="1" x14ac:dyDescent="0.2">
      <c r="A20" s="124" t="s">
        <v>1977</v>
      </c>
      <c r="B20" s="39"/>
      <c r="C20" s="76">
        <v>4129</v>
      </c>
      <c r="D20" s="76"/>
      <c r="E20" s="76">
        <v>4177</v>
      </c>
      <c r="F20" s="76"/>
      <c r="G20" s="76">
        <v>4198</v>
      </c>
      <c r="H20" s="76"/>
      <c r="I20" s="76">
        <v>4161</v>
      </c>
      <c r="J20" s="76"/>
      <c r="K20" s="76">
        <v>4161</v>
      </c>
      <c r="M20" s="76"/>
    </row>
    <row r="21" spans="1:13" s="40" customFormat="1" x14ac:dyDescent="0.2">
      <c r="A21" s="124" t="s">
        <v>1978</v>
      </c>
      <c r="B21" s="39"/>
      <c r="C21" s="76">
        <v>2289</v>
      </c>
      <c r="D21" s="76"/>
      <c r="E21" s="76">
        <v>2290</v>
      </c>
      <c r="F21" s="76"/>
      <c r="G21" s="76">
        <v>2300</v>
      </c>
      <c r="H21" s="76"/>
      <c r="I21" s="76">
        <v>2322</v>
      </c>
      <c r="J21" s="76"/>
      <c r="K21" s="76">
        <v>2322</v>
      </c>
      <c r="M21" s="76"/>
    </row>
    <row r="22" spans="1:13" s="40" customFormat="1" x14ac:dyDescent="0.2">
      <c r="A22" s="90" t="s">
        <v>1973</v>
      </c>
      <c r="B22" s="39"/>
      <c r="C22" s="76">
        <v>1443</v>
      </c>
      <c r="D22" s="76"/>
      <c r="E22" s="76">
        <v>1448</v>
      </c>
      <c r="F22" s="76"/>
      <c r="G22" s="76">
        <v>1455</v>
      </c>
      <c r="H22" s="76"/>
      <c r="I22" s="76">
        <v>1477</v>
      </c>
      <c r="J22" s="76"/>
      <c r="K22" s="76">
        <v>1502</v>
      </c>
      <c r="M22" s="76"/>
    </row>
    <row r="23" spans="1:13" s="40" customFormat="1" x14ac:dyDescent="0.2">
      <c r="A23" s="90" t="s">
        <v>2173</v>
      </c>
      <c r="B23" s="39"/>
      <c r="C23" s="76">
        <v>1233</v>
      </c>
      <c r="D23" s="76"/>
      <c r="E23" s="76">
        <v>1243</v>
      </c>
      <c r="F23" s="76"/>
      <c r="G23" s="76">
        <v>1248</v>
      </c>
      <c r="H23" s="76"/>
      <c r="I23" s="76">
        <v>1275</v>
      </c>
      <c r="J23" s="76"/>
      <c r="K23" s="76">
        <v>1297</v>
      </c>
      <c r="M23" s="76"/>
    </row>
    <row r="24" spans="1:13" s="40" customFormat="1" x14ac:dyDescent="0.2">
      <c r="A24" s="90" t="s">
        <v>1975</v>
      </c>
      <c r="B24" s="39"/>
      <c r="C24" s="76">
        <v>2686</v>
      </c>
      <c r="D24" s="76"/>
      <c r="E24" s="76">
        <v>2729</v>
      </c>
      <c r="F24" s="76"/>
      <c r="G24" s="76">
        <v>2743</v>
      </c>
      <c r="H24" s="76"/>
      <c r="I24" s="76">
        <v>2684</v>
      </c>
      <c r="J24" s="76"/>
      <c r="K24" s="76">
        <v>2659</v>
      </c>
      <c r="M24" s="76"/>
    </row>
    <row r="25" spans="1:13" s="40" customFormat="1" x14ac:dyDescent="0.2">
      <c r="A25" s="90" t="s">
        <v>2174</v>
      </c>
      <c r="B25" s="39"/>
      <c r="C25" s="76">
        <v>1056</v>
      </c>
      <c r="D25" s="76"/>
      <c r="E25" s="76">
        <v>1047</v>
      </c>
      <c r="F25" s="76"/>
      <c r="G25" s="76">
        <v>1052</v>
      </c>
      <c r="H25" s="76"/>
      <c r="I25" s="76">
        <v>1047</v>
      </c>
      <c r="J25" s="76"/>
      <c r="K25" s="76">
        <v>1025</v>
      </c>
      <c r="M25" s="76"/>
    </row>
    <row r="26" spans="1:13" s="40" customFormat="1" x14ac:dyDescent="0.2">
      <c r="A26" s="506" t="s">
        <v>1981</v>
      </c>
      <c r="B26" s="39"/>
      <c r="C26" s="76">
        <v>110</v>
      </c>
      <c r="D26" s="76"/>
      <c r="E26" s="76">
        <v>111</v>
      </c>
      <c r="F26" s="76"/>
      <c r="G26" s="76">
        <v>112</v>
      </c>
      <c r="H26" s="76"/>
      <c r="I26" s="76">
        <v>112</v>
      </c>
      <c r="J26" s="76"/>
      <c r="K26" s="76">
        <v>114</v>
      </c>
      <c r="M26" s="76"/>
    </row>
    <row r="27" spans="1:13" s="40" customFormat="1" x14ac:dyDescent="0.2">
      <c r="A27" s="506" t="s">
        <v>1982</v>
      </c>
      <c r="B27" s="39"/>
      <c r="C27" s="76">
        <v>4016</v>
      </c>
      <c r="D27" s="76"/>
      <c r="E27" s="76">
        <v>4047</v>
      </c>
      <c r="F27" s="76"/>
      <c r="G27" s="76">
        <v>4238</v>
      </c>
      <c r="H27" s="76"/>
      <c r="I27" s="76">
        <v>4238</v>
      </c>
      <c r="J27" s="76"/>
      <c r="K27" s="76">
        <v>4364</v>
      </c>
      <c r="M27" s="112"/>
    </row>
    <row r="28" spans="1:13" s="40" customFormat="1" x14ac:dyDescent="0.2">
      <c r="A28" s="506" t="s">
        <v>1983</v>
      </c>
      <c r="B28" s="39"/>
      <c r="C28" s="76"/>
      <c r="D28" s="76"/>
      <c r="E28" s="76"/>
      <c r="F28" s="76"/>
      <c r="G28" s="76"/>
      <c r="H28" s="76"/>
      <c r="I28" s="76"/>
      <c r="J28" s="76"/>
      <c r="K28" s="76"/>
    </row>
    <row r="29" spans="1:13" s="40" customFormat="1" x14ac:dyDescent="0.2">
      <c r="A29" s="41" t="s">
        <v>1984</v>
      </c>
      <c r="B29" s="39"/>
      <c r="C29" s="76">
        <v>3399</v>
      </c>
      <c r="D29" s="76"/>
      <c r="E29" s="76">
        <v>3707</v>
      </c>
      <c r="F29" s="76"/>
      <c r="G29" s="76">
        <v>3645</v>
      </c>
      <c r="H29" s="76"/>
      <c r="I29" s="76">
        <v>3704</v>
      </c>
      <c r="J29" s="76"/>
      <c r="K29" s="76">
        <v>3806</v>
      </c>
      <c r="M29" s="333"/>
    </row>
    <row r="30" spans="1:13" s="40" customFormat="1" x14ac:dyDescent="0.2">
      <c r="A30" s="41" t="s">
        <v>1985</v>
      </c>
      <c r="B30" s="39"/>
      <c r="C30" s="76">
        <v>1227</v>
      </c>
      <c r="D30" s="76"/>
      <c r="E30" s="76">
        <v>1177</v>
      </c>
      <c r="F30" s="76"/>
      <c r="G30" s="76">
        <v>1283</v>
      </c>
      <c r="H30" s="76"/>
      <c r="I30" s="76">
        <v>1252</v>
      </c>
      <c r="J30" s="76"/>
      <c r="K30" s="76">
        <v>1298</v>
      </c>
      <c r="M30" s="333"/>
    </row>
    <row r="31" spans="1:13" s="40" customFormat="1" x14ac:dyDescent="0.2">
      <c r="A31" s="41" t="s">
        <v>2167</v>
      </c>
      <c r="B31" s="39"/>
      <c r="C31" s="76">
        <v>28</v>
      </c>
      <c r="D31" s="76"/>
      <c r="E31" s="76">
        <v>28</v>
      </c>
      <c r="F31" s="76"/>
      <c r="G31" s="76">
        <v>36</v>
      </c>
      <c r="H31" s="76"/>
      <c r="I31" s="76">
        <v>31</v>
      </c>
      <c r="J31" s="76"/>
      <c r="K31" s="76">
        <v>34</v>
      </c>
      <c r="M31" s="333"/>
    </row>
    <row r="32" spans="1:13" s="40" customFormat="1" x14ac:dyDescent="0.2">
      <c r="A32" s="490" t="s">
        <v>2175</v>
      </c>
      <c r="B32" s="39"/>
      <c r="C32" s="76" t="s">
        <v>2093</v>
      </c>
      <c r="D32" s="76"/>
      <c r="E32" s="76" t="s">
        <v>2093</v>
      </c>
      <c r="F32" s="76"/>
      <c r="G32" s="76" t="s">
        <v>2093</v>
      </c>
      <c r="H32" s="76"/>
      <c r="I32" s="76" t="s">
        <v>2093</v>
      </c>
      <c r="J32" s="76"/>
      <c r="K32" s="76" t="s">
        <v>2093</v>
      </c>
      <c r="M32" s="1137"/>
    </row>
    <row r="33" spans="1:17" s="40" customFormat="1" x14ac:dyDescent="0.2">
      <c r="A33" s="490" t="s">
        <v>2019</v>
      </c>
      <c r="B33" s="39"/>
      <c r="C33" s="76"/>
      <c r="D33" s="76"/>
      <c r="E33" s="76"/>
      <c r="F33" s="76"/>
      <c r="G33" s="76"/>
      <c r="H33" s="76"/>
      <c r="I33" s="76"/>
      <c r="J33" s="76"/>
      <c r="K33" s="76"/>
      <c r="M33" s="64"/>
    </row>
    <row r="34" spans="1:17" s="40" customFormat="1" x14ac:dyDescent="0.2">
      <c r="A34" s="41" t="s">
        <v>2084</v>
      </c>
      <c r="B34" s="39"/>
      <c r="C34" s="76">
        <f>4782+2133</f>
        <v>6915</v>
      </c>
      <c r="D34" s="76"/>
      <c r="E34" s="76">
        <v>6774</v>
      </c>
      <c r="F34" s="76"/>
      <c r="G34" s="76">
        <v>6695</v>
      </c>
      <c r="H34" s="76"/>
      <c r="I34" s="76">
        <v>6729</v>
      </c>
      <c r="J34" s="76"/>
      <c r="K34" s="76">
        <v>6729</v>
      </c>
      <c r="M34" s="78"/>
    </row>
    <row r="35" spans="1:17" s="40" customFormat="1" x14ac:dyDescent="0.2">
      <c r="A35" s="41" t="s">
        <v>2128</v>
      </c>
      <c r="B35" s="39"/>
      <c r="C35" s="76">
        <v>2435</v>
      </c>
      <c r="D35" s="76"/>
      <c r="E35" s="76">
        <v>2458</v>
      </c>
      <c r="F35" s="76"/>
      <c r="G35" s="76">
        <v>2440</v>
      </c>
      <c r="H35" s="76"/>
      <c r="I35" s="76">
        <v>2468</v>
      </c>
      <c r="J35" s="76"/>
      <c r="K35" s="76">
        <v>2468</v>
      </c>
      <c r="M35" s="78"/>
    </row>
    <row r="36" spans="1:17" s="40" customFormat="1" x14ac:dyDescent="0.2">
      <c r="A36" s="90" t="s">
        <v>2129</v>
      </c>
      <c r="B36" s="39"/>
      <c r="C36" s="76">
        <v>4782</v>
      </c>
      <c r="D36" s="76"/>
      <c r="E36" s="76">
        <v>4680</v>
      </c>
      <c r="F36" s="76"/>
      <c r="G36" s="76">
        <v>4608</v>
      </c>
      <c r="H36" s="76"/>
      <c r="I36" s="76">
        <v>4479</v>
      </c>
      <c r="J36" s="76"/>
      <c r="K36" s="76">
        <v>4479</v>
      </c>
      <c r="M36" s="78"/>
    </row>
    <row r="37" spans="1:17" s="40" customFormat="1" x14ac:dyDescent="0.2">
      <c r="A37" s="90" t="s">
        <v>2130</v>
      </c>
      <c r="B37" s="39"/>
      <c r="C37" s="76">
        <v>1539</v>
      </c>
      <c r="D37" s="76"/>
      <c r="E37" s="76">
        <v>1553</v>
      </c>
      <c r="F37" s="76"/>
      <c r="G37" s="76">
        <v>1537</v>
      </c>
      <c r="H37" s="76"/>
      <c r="I37" s="76">
        <v>1490</v>
      </c>
      <c r="J37" s="76"/>
      <c r="K37" s="76">
        <v>1490</v>
      </c>
      <c r="M37" s="78"/>
    </row>
    <row r="38" spans="1:17" s="40" customFormat="1" x14ac:dyDescent="0.2">
      <c r="A38" s="90" t="s">
        <v>2131</v>
      </c>
      <c r="B38" s="39"/>
      <c r="C38" s="76">
        <v>2133</v>
      </c>
      <c r="D38" s="76"/>
      <c r="E38" s="76">
        <v>2094</v>
      </c>
      <c r="F38" s="76"/>
      <c r="G38" s="76">
        <v>2087</v>
      </c>
      <c r="H38" s="76"/>
      <c r="I38" s="76">
        <v>2250</v>
      </c>
      <c r="J38" s="76"/>
      <c r="K38" s="76">
        <v>2250</v>
      </c>
      <c r="M38" s="78"/>
    </row>
    <row r="39" spans="1:17" s="40" customFormat="1" x14ac:dyDescent="0.2">
      <c r="A39" s="90" t="s">
        <v>2132</v>
      </c>
      <c r="B39" s="39"/>
      <c r="C39" s="76">
        <v>896</v>
      </c>
      <c r="D39" s="76"/>
      <c r="E39" s="76">
        <v>905</v>
      </c>
      <c r="F39" s="76"/>
      <c r="G39" s="76">
        <v>903</v>
      </c>
      <c r="H39" s="76"/>
      <c r="I39" s="76">
        <v>978</v>
      </c>
      <c r="J39" s="76"/>
      <c r="K39" s="76">
        <v>978</v>
      </c>
      <c r="M39" s="78"/>
    </row>
    <row r="40" spans="1:17" s="40" customFormat="1" x14ac:dyDescent="0.2">
      <c r="A40" s="90" t="s">
        <v>2176</v>
      </c>
      <c r="B40" s="39"/>
      <c r="C40" s="97">
        <v>11655384</v>
      </c>
      <c r="D40" s="63"/>
      <c r="E40" s="126">
        <v>10827854</v>
      </c>
      <c r="F40" s="63"/>
      <c r="G40" s="126">
        <v>12011249</v>
      </c>
      <c r="H40" s="63"/>
      <c r="I40" s="126">
        <v>12972642</v>
      </c>
      <c r="J40" s="63"/>
      <c r="K40" s="97">
        <v>12972642</v>
      </c>
      <c r="M40" s="97"/>
    </row>
    <row r="41" spans="1:17" s="40" customFormat="1" ht="25.5" x14ac:dyDescent="0.2">
      <c r="A41" s="1283" t="s">
        <v>2177</v>
      </c>
      <c r="B41" s="117"/>
      <c r="C41" s="76">
        <v>2841</v>
      </c>
      <c r="D41" s="63"/>
      <c r="E41" s="76">
        <v>2764</v>
      </c>
      <c r="F41" s="63"/>
      <c r="G41" s="76"/>
      <c r="H41" s="63"/>
      <c r="I41" s="76">
        <v>1138</v>
      </c>
      <c r="J41" s="63"/>
      <c r="K41" s="76"/>
      <c r="M41" s="77"/>
      <c r="O41" s="118"/>
      <c r="P41" s="118"/>
      <c r="Q41" s="118"/>
    </row>
    <row r="42" spans="1:17" s="40" customFormat="1" x14ac:dyDescent="0.2">
      <c r="A42" s="124" t="s">
        <v>2178</v>
      </c>
      <c r="B42" s="117"/>
      <c r="C42" s="76">
        <v>495</v>
      </c>
      <c r="D42" s="63"/>
      <c r="E42" s="76">
        <v>495</v>
      </c>
      <c r="F42" s="63"/>
      <c r="G42" s="76"/>
      <c r="H42" s="63"/>
      <c r="I42" s="76">
        <v>532</v>
      </c>
      <c r="J42" s="63"/>
      <c r="K42" s="76"/>
      <c r="M42" s="77"/>
      <c r="O42" s="118"/>
      <c r="P42" s="118"/>
      <c r="Q42" s="118"/>
    </row>
    <row r="43" spans="1:17" s="40" customFormat="1" x14ac:dyDescent="0.2">
      <c r="A43" s="124" t="s">
        <v>2179</v>
      </c>
      <c r="B43" s="117"/>
      <c r="C43" s="76">
        <v>485</v>
      </c>
      <c r="D43" s="63"/>
      <c r="E43" s="76">
        <v>485</v>
      </c>
      <c r="F43" s="63"/>
      <c r="G43" s="76"/>
      <c r="H43" s="63"/>
      <c r="I43" s="76">
        <v>543</v>
      </c>
      <c r="J43" s="63"/>
      <c r="K43" s="76"/>
      <c r="M43" s="77"/>
      <c r="O43" s="118"/>
      <c r="P43" s="118"/>
      <c r="Q43" s="118"/>
    </row>
    <row r="44" spans="1:17" s="40" customFormat="1" x14ac:dyDescent="0.2">
      <c r="A44" s="124" t="s">
        <v>2171</v>
      </c>
      <c r="B44" s="117"/>
      <c r="C44" s="1258">
        <f t="shared" ref="C44" si="0">SUM(C42:C43)</f>
        <v>980</v>
      </c>
      <c r="D44" s="1258"/>
      <c r="E44" s="1258">
        <f>SUM(E42:E43)</f>
        <v>980</v>
      </c>
      <c r="F44" s="1258"/>
      <c r="G44" s="1258">
        <f t="shared" ref="G44:I44" si="1">SUM(G42:G43)</f>
        <v>0</v>
      </c>
      <c r="H44" s="1258">
        <f t="shared" si="1"/>
        <v>0</v>
      </c>
      <c r="I44" s="1258">
        <f t="shared" si="1"/>
        <v>1075</v>
      </c>
      <c r="J44" s="63"/>
      <c r="K44" s="1182"/>
      <c r="M44" s="1183"/>
      <c r="O44" s="118"/>
      <c r="P44" s="118"/>
      <c r="Q44" s="118"/>
    </row>
    <row r="45" spans="1:17" s="40" customFormat="1" x14ac:dyDescent="0.2">
      <c r="A45" s="645" t="s">
        <v>2055</v>
      </c>
      <c r="B45" s="117"/>
      <c r="C45" s="63"/>
      <c r="D45" s="63"/>
      <c r="E45" s="63"/>
      <c r="F45" s="63"/>
      <c r="G45" s="63"/>
      <c r="H45" s="63"/>
      <c r="I45" s="63"/>
      <c r="J45" s="63"/>
      <c r="K45" s="833"/>
    </row>
    <row r="46" spans="1:17" s="40" customFormat="1" x14ac:dyDescent="0.2">
      <c r="A46" s="124" t="s">
        <v>2005</v>
      </c>
      <c r="B46" s="117"/>
      <c r="C46" s="100">
        <v>0.83099999999999996</v>
      </c>
      <c r="D46" s="63"/>
      <c r="E46" s="100">
        <v>0.80500000000000005</v>
      </c>
      <c r="F46" s="63"/>
      <c r="G46" s="100"/>
      <c r="H46" s="63"/>
      <c r="I46" s="100"/>
      <c r="J46" s="63"/>
      <c r="K46" s="100"/>
      <c r="M46" s="101"/>
    </row>
    <row r="47" spans="1:17" s="40" customFormat="1" x14ac:dyDescent="0.2">
      <c r="A47" s="124" t="s">
        <v>2006</v>
      </c>
      <c r="B47" s="117"/>
      <c r="C47" s="100">
        <v>0.64400000000000002</v>
      </c>
      <c r="D47" s="63"/>
      <c r="E47" s="100">
        <v>0.64800000000000002</v>
      </c>
      <c r="F47" s="63"/>
      <c r="G47" s="100"/>
      <c r="H47" s="63"/>
      <c r="I47" s="100"/>
      <c r="J47" s="63"/>
      <c r="K47" s="100"/>
      <c r="M47" s="101"/>
    </row>
    <row r="48" spans="1:17" s="40" customFormat="1" x14ac:dyDescent="0.2">
      <c r="A48" s="38" t="s">
        <v>2180</v>
      </c>
      <c r="B48" s="39"/>
      <c r="C48" s="63"/>
      <c r="D48" s="63"/>
      <c r="E48" s="63"/>
      <c r="F48" s="63"/>
      <c r="G48" s="63"/>
      <c r="H48" s="63"/>
      <c r="I48" s="63"/>
      <c r="J48" s="63"/>
      <c r="K48" s="833"/>
    </row>
    <row r="49" spans="1:18" s="40" customFormat="1" x14ac:dyDescent="0.2">
      <c r="A49" s="124" t="s">
        <v>2181</v>
      </c>
      <c r="B49" s="117"/>
      <c r="C49" s="1162">
        <v>30122</v>
      </c>
      <c r="D49" s="63"/>
      <c r="E49" s="1162">
        <v>30793</v>
      </c>
      <c r="F49" s="63"/>
      <c r="G49" s="1162"/>
      <c r="H49" s="63"/>
      <c r="I49" s="1162">
        <v>31482</v>
      </c>
      <c r="J49" s="63" t="s">
        <v>1711</v>
      </c>
      <c r="K49" s="1162"/>
      <c r="M49" s="1284"/>
    </row>
    <row r="50" spans="1:18" s="40" customFormat="1" x14ac:dyDescent="0.2">
      <c r="A50" s="124" t="s">
        <v>2009</v>
      </c>
      <c r="B50" s="117"/>
      <c r="C50" s="1162">
        <v>8512</v>
      </c>
      <c r="D50" s="63"/>
      <c r="E50" s="1162">
        <v>8767</v>
      </c>
      <c r="F50" s="63"/>
      <c r="G50" s="1162"/>
      <c r="H50" s="63"/>
      <c r="I50" s="1162">
        <v>10808</v>
      </c>
      <c r="J50" s="63" t="s">
        <v>1711</v>
      </c>
      <c r="K50" s="833"/>
      <c r="M50" s="1284"/>
    </row>
    <row r="51" spans="1:18" s="40" customFormat="1" x14ac:dyDescent="0.2">
      <c r="A51" s="41" t="s">
        <v>2010</v>
      </c>
      <c r="B51" s="39"/>
      <c r="C51" s="1162">
        <v>17060</v>
      </c>
      <c r="D51" s="63"/>
      <c r="E51" s="1162">
        <v>16659</v>
      </c>
      <c r="F51" s="63"/>
      <c r="G51" s="1162"/>
      <c r="H51" s="63"/>
      <c r="I51" s="1162">
        <v>18920</v>
      </c>
      <c r="J51" s="63" t="s">
        <v>1711</v>
      </c>
      <c r="K51" s="833"/>
      <c r="M51" s="1284"/>
    </row>
    <row r="52" spans="1:18" s="40" customFormat="1" x14ac:dyDescent="0.2">
      <c r="A52" s="41" t="s">
        <v>2011</v>
      </c>
      <c r="B52" s="39"/>
      <c r="C52" s="1162">
        <v>3259</v>
      </c>
      <c r="D52" s="63"/>
      <c r="E52" s="1162">
        <v>3347</v>
      </c>
      <c r="F52" s="63"/>
      <c r="G52" s="1162"/>
      <c r="H52" s="63"/>
      <c r="I52" s="1162">
        <v>1647</v>
      </c>
      <c r="J52" s="63" t="s">
        <v>1711</v>
      </c>
      <c r="K52" s="833"/>
      <c r="M52" s="1284"/>
    </row>
    <row r="53" spans="1:18" s="40" customFormat="1" x14ac:dyDescent="0.2">
      <c r="A53" s="90"/>
      <c r="B53" s="39"/>
      <c r="C53" s="63"/>
      <c r="D53" s="63"/>
      <c r="E53" s="63"/>
      <c r="F53" s="63"/>
      <c r="G53" s="63"/>
      <c r="H53" s="63"/>
      <c r="I53" s="63"/>
      <c r="J53" s="63"/>
      <c r="K53" s="833"/>
    </row>
    <row r="54" spans="1:18" s="37" customFormat="1" x14ac:dyDescent="0.2">
      <c r="A54" s="35" t="s">
        <v>517</v>
      </c>
      <c r="B54" s="36"/>
      <c r="C54" s="87"/>
      <c r="D54" s="87"/>
      <c r="E54" s="87"/>
      <c r="F54" s="87"/>
      <c r="G54" s="87"/>
      <c r="H54" s="87"/>
      <c r="I54" s="87"/>
      <c r="J54" s="87"/>
      <c r="K54" s="1285"/>
    </row>
    <row r="55" spans="1:18" s="37" customFormat="1" x14ac:dyDescent="0.2">
      <c r="A55" s="35" t="s">
        <v>1968</v>
      </c>
      <c r="B55" s="36"/>
      <c r="C55" s="87"/>
      <c r="D55" s="87"/>
      <c r="E55" s="87"/>
      <c r="F55" s="87"/>
      <c r="G55" s="87"/>
      <c r="H55" s="87"/>
      <c r="I55" s="87"/>
      <c r="J55" s="87"/>
      <c r="K55" s="1285"/>
      <c r="M55" s="108"/>
    </row>
    <row r="56" spans="1:18" s="40" customFormat="1" x14ac:dyDescent="0.2">
      <c r="A56" s="38" t="s">
        <v>2097</v>
      </c>
      <c r="B56" s="39"/>
      <c r="C56" s="63"/>
      <c r="D56" s="63"/>
      <c r="E56" s="63"/>
      <c r="F56" s="63"/>
      <c r="G56" s="63"/>
      <c r="H56" s="63"/>
      <c r="I56" s="63"/>
      <c r="J56" s="63"/>
      <c r="K56" s="833"/>
    </row>
    <row r="57" spans="1:18" s="40" customFormat="1" x14ac:dyDescent="0.2">
      <c r="A57" s="41" t="s">
        <v>1298</v>
      </c>
      <c r="B57" s="39"/>
      <c r="C57" s="1286">
        <f>152317000+1050000</f>
        <v>153367000</v>
      </c>
      <c r="D57" s="63"/>
      <c r="E57" s="1286">
        <f>148140000+1050000</f>
        <v>149190000</v>
      </c>
      <c r="F57" s="63"/>
      <c r="G57" s="1286"/>
      <c r="H57" s="63"/>
      <c r="I57" s="1286">
        <v>168020560</v>
      </c>
      <c r="J57" s="63"/>
      <c r="K57" s="1286"/>
      <c r="M57" s="1287"/>
    </row>
    <row r="58" spans="1:18" s="40" customFormat="1" x14ac:dyDescent="0.2">
      <c r="A58" s="41" t="s">
        <v>2020</v>
      </c>
      <c r="B58" s="39"/>
      <c r="C58" s="1162">
        <v>27571000</v>
      </c>
      <c r="D58" s="63"/>
      <c r="E58" s="1162">
        <v>29295000</v>
      </c>
      <c r="F58" s="63"/>
      <c r="G58" s="1162"/>
      <c r="H58" s="63"/>
      <c r="I58" s="1162">
        <v>29856119</v>
      </c>
      <c r="J58" s="63"/>
      <c r="K58" s="1162"/>
      <c r="M58" s="1284"/>
    </row>
    <row r="59" spans="1:18" s="40" customFormat="1" x14ac:dyDescent="0.2">
      <c r="A59" s="41" t="s">
        <v>2021</v>
      </c>
      <c r="B59" s="39"/>
      <c r="C59" s="1162">
        <v>16970000</v>
      </c>
      <c r="D59" s="63"/>
      <c r="E59" s="1162">
        <v>17654000</v>
      </c>
      <c r="F59" s="63"/>
      <c r="G59" s="1162"/>
      <c r="H59" s="63"/>
      <c r="I59" s="1162">
        <v>17855247</v>
      </c>
      <c r="J59" s="63"/>
      <c r="K59" s="833"/>
      <c r="M59" s="1284"/>
    </row>
    <row r="60" spans="1:18" s="40" customFormat="1" x14ac:dyDescent="0.2">
      <c r="A60" s="41" t="s">
        <v>2022</v>
      </c>
      <c r="B60" s="39"/>
      <c r="C60" s="1162">
        <v>66844000</v>
      </c>
      <c r="D60" s="63"/>
      <c r="E60" s="1162">
        <v>63850000</v>
      </c>
      <c r="F60" s="63"/>
      <c r="G60" s="1162"/>
      <c r="H60" s="63"/>
      <c r="I60" s="1162">
        <v>66836349</v>
      </c>
      <c r="J60" s="63"/>
      <c r="K60" s="833"/>
      <c r="M60" s="1284"/>
    </row>
    <row r="61" spans="1:18" s="40" customFormat="1" x14ac:dyDescent="0.2">
      <c r="A61" s="41" t="s">
        <v>2023</v>
      </c>
      <c r="B61" s="39"/>
      <c r="C61" s="1162">
        <v>36089000</v>
      </c>
      <c r="D61" s="63"/>
      <c r="E61" s="1162">
        <v>36855000</v>
      </c>
      <c r="F61" s="63"/>
      <c r="G61" s="1162"/>
      <c r="H61" s="63"/>
      <c r="I61" s="1162">
        <v>40045446</v>
      </c>
      <c r="J61" s="63"/>
      <c r="K61" s="833"/>
      <c r="M61" s="1284"/>
      <c r="O61" s="118"/>
      <c r="P61" s="118"/>
      <c r="Q61" s="118"/>
      <c r="R61" s="118"/>
    </row>
    <row r="62" spans="1:18" s="40" customFormat="1" x14ac:dyDescent="0.2">
      <c r="A62" s="90"/>
      <c r="B62" s="39"/>
      <c r="C62" s="63"/>
      <c r="D62" s="63"/>
      <c r="E62" s="63"/>
      <c r="F62" s="63"/>
      <c r="G62" s="63"/>
      <c r="H62" s="63"/>
      <c r="I62" s="63"/>
      <c r="J62" s="63"/>
      <c r="K62" s="833"/>
    </row>
    <row r="63" spans="1:18" s="37" customFormat="1" x14ac:dyDescent="0.2">
      <c r="A63" s="35" t="s">
        <v>194</v>
      </c>
      <c r="B63" s="36"/>
      <c r="C63" s="87"/>
      <c r="D63" s="87"/>
      <c r="E63" s="87"/>
      <c r="F63" s="87"/>
      <c r="G63" s="87"/>
      <c r="H63" s="87"/>
      <c r="I63" s="87"/>
      <c r="J63" s="87"/>
      <c r="K63" s="1285"/>
    </row>
    <row r="64" spans="1:18" s="37" customFormat="1" x14ac:dyDescent="0.2">
      <c r="A64" s="35" t="s">
        <v>195</v>
      </c>
      <c r="B64" s="36"/>
      <c r="C64" s="87"/>
      <c r="D64" s="87"/>
      <c r="E64" s="87"/>
      <c r="F64" s="87"/>
      <c r="G64" s="87"/>
      <c r="H64" s="87"/>
      <c r="I64" s="87"/>
      <c r="J64" s="87"/>
      <c r="K64" s="1285"/>
    </row>
    <row r="65" spans="1:17" s="118" customFormat="1" x14ac:dyDescent="0.2">
      <c r="A65" s="124" t="s">
        <v>2137</v>
      </c>
      <c r="B65" s="117"/>
      <c r="C65" s="112">
        <v>1316</v>
      </c>
      <c r="D65" s="111"/>
      <c r="E65" s="112">
        <v>1316</v>
      </c>
      <c r="F65" s="111"/>
      <c r="G65" s="112">
        <v>1316</v>
      </c>
      <c r="H65" s="111"/>
      <c r="I65" s="112">
        <v>1316</v>
      </c>
      <c r="J65" s="111"/>
      <c r="K65" s="112">
        <v>1316</v>
      </c>
      <c r="M65" s="112"/>
    </row>
    <row r="66" spans="1:17" s="37" customFormat="1" x14ac:dyDescent="0.2">
      <c r="A66" s="35"/>
      <c r="B66" s="36"/>
      <c r="C66" s="87"/>
      <c r="D66" s="87"/>
      <c r="E66" s="87"/>
      <c r="F66" s="87"/>
    </row>
    <row r="67" spans="1:17" s="48" customFormat="1" x14ac:dyDescent="0.2">
      <c r="A67" s="46"/>
      <c r="B67" s="47"/>
      <c r="C67" s="331"/>
      <c r="D67" s="331"/>
      <c r="E67" s="331"/>
      <c r="F67" s="331"/>
    </row>
    <row r="68" spans="1:17" s="48" customFormat="1" x14ac:dyDescent="0.2">
      <c r="A68" s="49" t="s">
        <v>200</v>
      </c>
      <c r="B68" s="50"/>
      <c r="C68" s="51"/>
      <c r="D68" s="52"/>
      <c r="E68" s="53"/>
      <c r="F68" s="52"/>
      <c r="G68" s="53"/>
      <c r="H68" s="52"/>
      <c r="I68" s="53"/>
      <c r="J68" s="52"/>
      <c r="K68" s="53"/>
      <c r="L68" s="52"/>
      <c r="M68" s="51"/>
      <c r="N68" s="52"/>
    </row>
    <row r="69" spans="1:17" ht="12.75" customHeight="1" x14ac:dyDescent="0.2">
      <c r="A69" s="1738" t="s">
        <v>2162</v>
      </c>
      <c r="B69" s="1736"/>
      <c r="C69" s="1737"/>
      <c r="D69" s="1736"/>
      <c r="E69" s="1737"/>
      <c r="F69" s="1736"/>
      <c r="G69" s="1737"/>
      <c r="H69" s="1736"/>
      <c r="I69" s="1737"/>
      <c r="J69" s="1736"/>
      <c r="K69" s="1737"/>
      <c r="L69" s="1736"/>
      <c r="M69" s="1737"/>
      <c r="N69" s="1736"/>
      <c r="O69" s="54"/>
      <c r="P69" s="54"/>
      <c r="Q69" s="951"/>
    </row>
    <row r="70" spans="1:17" ht="12.75" customHeight="1" x14ac:dyDescent="0.2">
      <c r="A70" s="1755" t="s">
        <v>2182</v>
      </c>
      <c r="B70" s="1736"/>
      <c r="C70" s="1737"/>
      <c r="D70" s="1736"/>
      <c r="E70" s="1737"/>
      <c r="F70" s="1736"/>
      <c r="G70" s="1737"/>
      <c r="H70" s="1736"/>
      <c r="I70" s="1737"/>
      <c r="J70" s="1736"/>
      <c r="K70" s="1737"/>
      <c r="L70" s="1736"/>
      <c r="M70" s="1737"/>
      <c r="N70" s="1736"/>
      <c r="O70" s="54"/>
      <c r="P70" s="54"/>
    </row>
    <row r="71" spans="1:17" ht="12.75" customHeight="1" x14ac:dyDescent="0.2">
      <c r="A71" s="1738" t="s">
        <v>2183</v>
      </c>
      <c r="B71" s="1738"/>
      <c r="C71" s="1738"/>
      <c r="D71" s="1738"/>
      <c r="E71" s="1738"/>
      <c r="F71" s="1738"/>
      <c r="G71" s="1738"/>
      <c r="H71" s="1738"/>
      <c r="I71" s="1738"/>
      <c r="J71" s="1738"/>
      <c r="K71" s="1738"/>
      <c r="L71" s="1738"/>
      <c r="M71" s="1738"/>
      <c r="N71" s="1738"/>
      <c r="O71" s="54"/>
      <c r="P71" s="54"/>
    </row>
    <row r="72" spans="1:17" ht="12.75" customHeight="1" x14ac:dyDescent="0.2">
      <c r="A72" s="1738" t="s">
        <v>2064</v>
      </c>
      <c r="B72" s="1736"/>
      <c r="C72" s="1737"/>
      <c r="D72" s="1736"/>
      <c r="E72" s="1737"/>
      <c r="F72" s="1736"/>
      <c r="G72" s="1737"/>
      <c r="H72" s="1736"/>
      <c r="I72" s="1737"/>
      <c r="J72" s="1736"/>
      <c r="K72" s="1737"/>
      <c r="L72" s="1736"/>
      <c r="M72" s="1737"/>
      <c r="N72" s="1736"/>
      <c r="O72" s="54"/>
      <c r="P72" s="54"/>
    </row>
    <row r="73" spans="1:17" ht="12.75" customHeight="1" x14ac:dyDescent="0.2">
      <c r="A73" s="1738" t="s">
        <v>2141</v>
      </c>
      <c r="B73" s="1736"/>
      <c r="C73" s="1737"/>
      <c r="D73" s="1736"/>
      <c r="E73" s="1737"/>
      <c r="F73" s="1736"/>
      <c r="G73" s="1737"/>
      <c r="H73" s="1736"/>
      <c r="I73" s="1737"/>
      <c r="J73" s="1736"/>
      <c r="K73" s="1737"/>
      <c r="L73" s="1736"/>
      <c r="M73" s="1737"/>
      <c r="N73" s="1736"/>
      <c r="O73" s="1184"/>
      <c r="P73" s="54"/>
    </row>
    <row r="74" spans="1:17" ht="27.75" customHeight="1" x14ac:dyDescent="0.2">
      <c r="A74" s="1738" t="s">
        <v>3067</v>
      </c>
      <c r="B74" s="1736"/>
      <c r="C74" s="1737"/>
      <c r="D74" s="1736"/>
      <c r="E74" s="1737"/>
      <c r="F74" s="1736"/>
      <c r="G74" s="1737"/>
      <c r="H74" s="1736"/>
      <c r="I74" s="1737"/>
      <c r="J74" s="1736"/>
      <c r="K74" s="1737"/>
      <c r="L74" s="1736"/>
      <c r="M74" s="1737"/>
      <c r="N74" s="1736"/>
      <c r="O74" s="54"/>
      <c r="P74" s="54"/>
    </row>
    <row r="75" spans="1:17" ht="27.75" customHeight="1" x14ac:dyDescent="0.2">
      <c r="A75" s="1738"/>
      <c r="B75" s="1736"/>
      <c r="C75" s="1737"/>
      <c r="D75" s="1736"/>
      <c r="E75" s="1737"/>
      <c r="F75" s="1736"/>
      <c r="G75" s="1737"/>
      <c r="H75" s="1736"/>
      <c r="I75" s="1737"/>
      <c r="J75" s="1736"/>
      <c r="K75" s="1737"/>
      <c r="L75" s="1736"/>
      <c r="M75" s="1738"/>
      <c r="N75" s="1736"/>
      <c r="O75" s="54"/>
      <c r="P75" s="54"/>
    </row>
    <row r="76" spans="1:17" ht="27.75" customHeight="1" x14ac:dyDescent="0.2">
      <c r="A76" s="1735"/>
      <c r="B76" s="1736"/>
      <c r="C76" s="1737"/>
      <c r="D76" s="1736"/>
      <c r="E76" s="1737"/>
      <c r="F76" s="1736"/>
      <c r="G76" s="1737"/>
      <c r="H76" s="1736"/>
      <c r="I76" s="1737"/>
      <c r="J76" s="1736"/>
      <c r="K76" s="1737"/>
      <c r="L76" s="1736"/>
      <c r="M76" s="1737"/>
      <c r="N76" s="1736"/>
      <c r="O76" s="54"/>
      <c r="P76" s="54"/>
    </row>
    <row r="77" spans="1:17" x14ac:dyDescent="0.2">
      <c r="A77" s="55"/>
      <c r="B77" s="54"/>
      <c r="C77" s="56"/>
      <c r="D77" s="54"/>
      <c r="E77" s="56"/>
      <c r="F77" s="54"/>
      <c r="G77" s="56"/>
      <c r="H77" s="54"/>
      <c r="I77" s="56"/>
      <c r="J77" s="54"/>
      <c r="K77" s="56"/>
      <c r="L77" s="54"/>
      <c r="M77" s="56"/>
      <c r="N77" s="54"/>
      <c r="O77" s="54"/>
      <c r="P77" s="54"/>
    </row>
    <row r="78" spans="1:17" x14ac:dyDescent="0.2">
      <c r="A78" s="55"/>
      <c r="B78" s="54"/>
      <c r="C78" s="54"/>
      <c r="D78" s="54"/>
      <c r="E78" s="54"/>
      <c r="F78" s="54"/>
      <c r="G78" s="54"/>
      <c r="H78" s="54"/>
      <c r="I78" s="54"/>
      <c r="J78" s="54"/>
      <c r="K78" s="54"/>
      <c r="L78" s="54"/>
      <c r="M78" s="54"/>
      <c r="N78" s="54"/>
      <c r="O78" s="54"/>
      <c r="P78" s="54"/>
    </row>
    <row r="79" spans="1:17" x14ac:dyDescent="0.2">
      <c r="A79" s="55"/>
      <c r="B79" s="54"/>
      <c r="C79" s="56"/>
      <c r="D79" s="54"/>
      <c r="E79" s="56"/>
      <c r="F79" s="54"/>
      <c r="G79" s="56"/>
      <c r="H79" s="54"/>
      <c r="I79" s="56"/>
      <c r="J79" s="54"/>
      <c r="K79" s="56"/>
      <c r="L79" s="54"/>
      <c r="M79" s="56"/>
      <c r="N79" s="54"/>
      <c r="O79" s="54"/>
      <c r="P79" s="54"/>
    </row>
    <row r="80" spans="1:17" x14ac:dyDescent="0.2">
      <c r="A80" s="55"/>
      <c r="B80" s="54"/>
      <c r="C80" s="54"/>
      <c r="D80" s="54"/>
      <c r="E80" s="54"/>
      <c r="F80" s="54"/>
      <c r="G80" s="54"/>
      <c r="H80" s="54"/>
      <c r="I80" s="54"/>
      <c r="J80" s="54"/>
      <c r="K80" s="54"/>
      <c r="L80" s="54"/>
      <c r="M80" s="54"/>
      <c r="N80" s="54"/>
      <c r="O80" s="54"/>
      <c r="P80" s="54"/>
    </row>
    <row r="81" spans="1:17" x14ac:dyDescent="0.2">
      <c r="A81" s="55"/>
      <c r="B81" s="54"/>
      <c r="C81" s="56"/>
      <c r="D81" s="54"/>
      <c r="E81" s="56"/>
      <c r="F81" s="54"/>
      <c r="G81" s="56"/>
      <c r="H81" s="54"/>
      <c r="I81" s="56"/>
      <c r="J81" s="54"/>
      <c r="K81" s="56"/>
      <c r="L81" s="54"/>
      <c r="M81" s="56"/>
      <c r="N81" s="54"/>
      <c r="O81" s="54"/>
      <c r="P81" s="54"/>
    </row>
    <row r="82" spans="1:17" x14ac:dyDescent="0.2">
      <c r="A82" s="55"/>
      <c r="B82" s="54"/>
      <c r="C82" s="54"/>
      <c r="D82" s="54"/>
      <c r="E82" s="54"/>
      <c r="F82" s="54"/>
      <c r="G82" s="54"/>
      <c r="H82" s="54"/>
      <c r="I82" s="54"/>
      <c r="J82" s="54"/>
      <c r="K82" s="54"/>
      <c r="L82" s="54"/>
      <c r="M82" s="54"/>
      <c r="N82" s="54"/>
      <c r="O82" s="54"/>
      <c r="P82" s="54"/>
    </row>
    <row r="83" spans="1:17" x14ac:dyDescent="0.2">
      <c r="A83" s="55"/>
      <c r="B83" s="54"/>
      <c r="C83" s="54"/>
      <c r="D83" s="54"/>
      <c r="E83" s="54"/>
      <c r="F83" s="54"/>
      <c r="G83" s="54"/>
      <c r="H83" s="54"/>
      <c r="I83" s="54"/>
      <c r="J83" s="54"/>
      <c r="K83" s="54"/>
      <c r="L83" s="54"/>
      <c r="M83" s="54"/>
      <c r="N83" s="54"/>
      <c r="O83" s="54"/>
      <c r="P83" s="54"/>
    </row>
    <row r="84" spans="1:17" x14ac:dyDescent="0.2">
      <c r="A84" s="55"/>
      <c r="B84" s="54"/>
      <c r="C84" s="54"/>
      <c r="D84" s="54"/>
      <c r="E84" s="54"/>
      <c r="F84" s="54"/>
      <c r="G84" s="54"/>
      <c r="H84" s="54"/>
      <c r="I84" s="54"/>
      <c r="J84" s="54"/>
      <c r="K84" s="54"/>
      <c r="L84" s="54"/>
      <c r="M84" s="54"/>
      <c r="N84" s="54"/>
      <c r="O84" s="54"/>
      <c r="P84" s="54"/>
      <c r="Q84" s="57"/>
    </row>
    <row r="85" spans="1:17" x14ac:dyDescent="0.2">
      <c r="B85" s="25"/>
      <c r="C85" s="25"/>
      <c r="D85" s="25"/>
      <c r="E85" s="58"/>
      <c r="F85" s="58"/>
      <c r="G85" s="58"/>
      <c r="H85" s="58"/>
    </row>
    <row r="86" spans="1:17" x14ac:dyDescent="0.2">
      <c r="B86" s="25"/>
      <c r="C86" s="25"/>
      <c r="D86" s="25"/>
      <c r="E86" s="58"/>
      <c r="F86" s="58"/>
      <c r="G86" s="58"/>
      <c r="H86" s="58"/>
    </row>
    <row r="87" spans="1:17" x14ac:dyDescent="0.2">
      <c r="B87" s="25"/>
      <c r="C87" s="25"/>
      <c r="D87" s="25"/>
      <c r="E87" s="58"/>
      <c r="F87" s="58"/>
      <c r="G87" s="58"/>
      <c r="H87" s="58"/>
    </row>
    <row r="88" spans="1:17" x14ac:dyDescent="0.2">
      <c r="B88" s="25"/>
      <c r="C88" s="25"/>
      <c r="D88" s="25"/>
      <c r="E88" s="58"/>
      <c r="F88" s="58"/>
      <c r="G88" s="58"/>
      <c r="H88" s="58"/>
    </row>
    <row r="89" spans="1:17" x14ac:dyDescent="0.2">
      <c r="B89" s="25"/>
      <c r="C89" s="25"/>
      <c r="D89" s="25"/>
      <c r="E89" s="58"/>
      <c r="F89" s="58"/>
      <c r="G89" s="58"/>
      <c r="H89" s="58"/>
    </row>
    <row r="90" spans="1:17" x14ac:dyDescent="0.2">
      <c r="B90" s="25"/>
      <c r="C90" s="25"/>
      <c r="D90" s="25"/>
      <c r="E90" s="58"/>
      <c r="F90" s="58"/>
      <c r="G90" s="58"/>
      <c r="H90" s="58"/>
    </row>
    <row r="91" spans="1:17" x14ac:dyDescent="0.2">
      <c r="B91" s="25"/>
      <c r="C91" s="25"/>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row>
    <row r="115" spans="2:8" x14ac:dyDescent="0.2">
      <c r="B115" s="25"/>
    </row>
    <row r="116" spans="2:8" x14ac:dyDescent="0.2">
      <c r="B116" s="25"/>
    </row>
    <row r="117" spans="2:8" x14ac:dyDescent="0.2">
      <c r="B117" s="25"/>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sheetData>
  <mergeCells count="10">
    <mergeCell ref="A75:L75"/>
    <mergeCell ref="M75:N75"/>
    <mergeCell ref="A76:N76"/>
    <mergeCell ref="K2:K3"/>
    <mergeCell ref="A69:N69"/>
    <mergeCell ref="A70:N70"/>
    <mergeCell ref="A71:N71"/>
    <mergeCell ref="A72:N72"/>
    <mergeCell ref="A73:N73"/>
    <mergeCell ref="A74:N74"/>
  </mergeCells>
  <conditionalFormatting sqref="K75:K64534">
    <cfRule type="expression" dxfId="13" priority="5" stopIfTrue="1">
      <formula>hasformula(K85)</formula>
    </cfRule>
    <cfRule type="expression" dxfId="12" priority="6" stopIfTrue="1">
      <formula>hasformula(K75:K1073)</formula>
    </cfRule>
    <cfRule type="expression" priority="7" stopIfTrue="1">
      <formula>hasformula(K85)</formula>
    </cfRule>
    <cfRule type="expression" priority="8" stopIfTrue="1">
      <formula>hasformula(K75:K1073)</formula>
    </cfRule>
  </conditionalFormatting>
  <conditionalFormatting sqref="K70">
    <cfRule type="expression" dxfId="11" priority="9" stopIfTrue="1">
      <formula>hasformula(K79)</formula>
    </cfRule>
    <cfRule type="expression" dxfId="10" priority="10" stopIfTrue="1">
      <formula>hasformula(K70:K1067)</formula>
    </cfRule>
    <cfRule type="expression" priority="11" stopIfTrue="1">
      <formula>hasformula(K79)</formula>
    </cfRule>
    <cfRule type="expression" priority="12" stopIfTrue="1">
      <formula>hasformula(K70:K1067)</formula>
    </cfRule>
  </conditionalFormatting>
  <conditionalFormatting sqref="K64535:K65522">
    <cfRule type="expression" dxfId="9" priority="13" stopIfTrue="1">
      <formula>hasformula(K64545)</formula>
    </cfRule>
    <cfRule type="expression" dxfId="8" priority="14" stopIfTrue="1">
      <formula>hasformula(K64535:K65533)</formula>
    </cfRule>
    <cfRule type="expression" priority="15" stopIfTrue="1">
      <formula>hasformula(K64545)</formula>
    </cfRule>
    <cfRule type="expression" priority="16" stopIfTrue="1">
      <formula>hasformula(K64535:K65533)</formula>
    </cfRule>
  </conditionalFormatting>
  <conditionalFormatting sqref="K65523:K65531">
    <cfRule type="expression" dxfId="7" priority="17" stopIfTrue="1">
      <formula>hasformula(K65532)</formula>
    </cfRule>
    <cfRule type="expression" dxfId="6" priority="18" stopIfTrue="1">
      <formula>hasformula(K65523:K66523)</formula>
    </cfRule>
    <cfRule type="expression" priority="19" stopIfTrue="1">
      <formula>hasformula(K65532)</formula>
    </cfRule>
    <cfRule type="expression" priority="20" stopIfTrue="1">
      <formula>hasformula(K65523:K66523)</formula>
    </cfRule>
  </conditionalFormatting>
  <conditionalFormatting sqref="K68:K69 K72:K73">
    <cfRule type="expression" dxfId="5" priority="21" stopIfTrue="1">
      <formula>hasformula(K76)</formula>
    </cfRule>
    <cfRule type="expression" dxfId="4" priority="22" stopIfTrue="1">
      <formula>hasformula(K68:K1064)</formula>
    </cfRule>
    <cfRule type="expression" priority="23" stopIfTrue="1">
      <formula>hasformula(K76)</formula>
    </cfRule>
    <cfRule type="expression" priority="24" stopIfTrue="1">
      <formula>hasformula(K68:K1064)</formula>
    </cfRule>
  </conditionalFormatting>
  <conditionalFormatting sqref="K1:K9">
    <cfRule type="expression" dxfId="3" priority="25" stopIfTrue="1">
      <formula>hasformula(#REF!)</formula>
    </cfRule>
    <cfRule type="expression" dxfId="2" priority="26" stopIfTrue="1">
      <formula>hasformula(K1:K995)</formula>
    </cfRule>
    <cfRule type="expression" priority="27" stopIfTrue="1">
      <formula>hasformula(#REF!)</formula>
    </cfRule>
    <cfRule type="expression" priority="28" stopIfTrue="1">
      <formula>hasformula(K1:K995)</formula>
    </cfRule>
  </conditionalFormatting>
  <conditionalFormatting sqref="K74">
    <cfRule type="expression" dxfId="1" priority="1" stopIfTrue="1">
      <formula>hasformula(K82)</formula>
    </cfRule>
    <cfRule type="expression" dxfId="0" priority="2" stopIfTrue="1">
      <formula>hasformula(K74:K1070)</formula>
    </cfRule>
    <cfRule type="expression" priority="3" stopIfTrue="1">
      <formula>hasformula(K82)</formula>
    </cfRule>
    <cfRule type="expression" priority="4" stopIfTrue="1">
      <formula>hasformula(K74:K1070)</formula>
    </cfRule>
  </conditionalFormatting>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rintOptions horizontalCentered="1" gridLines="1"/>
  <pageMargins left="0.25" right="0.25" top="1" bottom="1" header="0.5" footer="0.5"/>
  <pageSetup scale="86" fitToHeight="0" pageOrder="overThenDown" orientation="portrait" r:id="rId1"/>
  <headerFooter alignWithMargins="0">
    <oddHeader>&amp;C&amp;"Arial,Bold"FY14 Evaluation Data (BB-104)</oddHeader>
    <oddFooter>&amp;C&amp;8&amp;Z&amp;F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4">
    <pageSetUpPr fitToPage="1"/>
  </sheetPr>
  <dimension ref="A1:Q13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21.28515625" style="61" customWidth="1"/>
    <col min="4" max="4" width="3" style="61" customWidth="1"/>
    <col min="5" max="5" width="17.140625" style="59" customWidth="1"/>
    <col min="6" max="6" width="2.85546875" style="60" customWidth="1"/>
    <col min="7" max="7" width="13.7109375" style="59" hidden="1" customWidth="1"/>
    <col min="8" max="8" width="3.140625" style="60" hidden="1" customWidth="1"/>
    <col min="9" max="9" width="16" style="59" customWidth="1"/>
    <col min="10" max="10" width="3.140625" style="60" bestFit="1" customWidth="1"/>
    <col min="11" max="11" width="15.14062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219</v>
      </c>
      <c r="C3" s="10" t="s">
        <v>220</v>
      </c>
      <c r="D3" s="6"/>
      <c r="E3" s="11"/>
      <c r="F3" s="9"/>
      <c r="G3" s="11"/>
      <c r="H3" s="6"/>
      <c r="I3" s="11"/>
      <c r="J3" s="6"/>
      <c r="K3" s="1734"/>
      <c r="L3" s="6"/>
      <c r="M3" s="11"/>
      <c r="N3" s="6"/>
    </row>
    <row r="4" spans="1:16" s="4" customFormat="1" ht="15.75" x14ac:dyDescent="0.25">
      <c r="A4" s="1" t="s">
        <v>180</v>
      </c>
      <c r="B4" s="10" t="s">
        <v>221</v>
      </c>
      <c r="C4" s="10" t="s">
        <v>2</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73"/>
      <c r="D10" s="73"/>
    </row>
    <row r="11" spans="1:16" s="40" customFormat="1" x14ac:dyDescent="0.2">
      <c r="A11" s="35" t="s">
        <v>223</v>
      </c>
      <c r="B11" s="39"/>
      <c r="C11" s="74"/>
      <c r="D11" s="74"/>
    </row>
    <row r="12" spans="1:16" s="40" customFormat="1" x14ac:dyDescent="0.2">
      <c r="A12" s="41" t="s">
        <v>224</v>
      </c>
      <c r="B12" s="39"/>
      <c r="C12" s="75">
        <v>45</v>
      </c>
      <c r="D12" s="74"/>
      <c r="E12" s="76">
        <v>45</v>
      </c>
      <c r="G12" s="76">
        <v>45</v>
      </c>
      <c r="I12" s="76">
        <v>45</v>
      </c>
      <c r="K12" s="76">
        <v>45</v>
      </c>
      <c r="M12" s="77"/>
    </row>
    <row r="13" spans="1:16" s="40" customFormat="1" x14ac:dyDescent="0.2">
      <c r="A13" s="41" t="s">
        <v>225</v>
      </c>
      <c r="B13" s="39"/>
      <c r="C13" s="75">
        <v>32000</v>
      </c>
      <c r="D13" s="78"/>
      <c r="E13" s="76">
        <v>28000</v>
      </c>
      <c r="G13" s="76">
        <v>32000</v>
      </c>
      <c r="I13" s="76">
        <v>28000</v>
      </c>
      <c r="K13" s="76">
        <v>28000</v>
      </c>
      <c r="M13" s="77"/>
    </row>
    <row r="14" spans="1:16" s="40" customFormat="1" x14ac:dyDescent="0.2">
      <c r="A14" s="35" t="s">
        <v>226</v>
      </c>
      <c r="B14" s="39"/>
      <c r="C14" s="79"/>
      <c r="D14" s="74"/>
      <c r="E14" s="76"/>
      <c r="G14" s="76"/>
      <c r="I14" s="76"/>
      <c r="K14" s="76"/>
      <c r="M14" s="77"/>
    </row>
    <row r="15" spans="1:16" s="40" customFormat="1" x14ac:dyDescent="0.2">
      <c r="A15" s="41" t="s">
        <v>227</v>
      </c>
      <c r="B15" s="39"/>
      <c r="C15" s="75">
        <v>1250</v>
      </c>
      <c r="D15" s="74"/>
      <c r="E15" s="76">
        <v>1250</v>
      </c>
      <c r="G15" s="76">
        <v>1250</v>
      </c>
      <c r="I15" s="76">
        <v>1250</v>
      </c>
      <c r="K15" s="76">
        <v>1250</v>
      </c>
      <c r="M15" s="77"/>
      <c r="O15" s="77"/>
    </row>
    <row r="16" spans="1:16" s="40" customFormat="1" x14ac:dyDescent="0.2">
      <c r="A16" s="41" t="s">
        <v>228</v>
      </c>
      <c r="B16" s="39"/>
      <c r="C16" s="75">
        <v>18000</v>
      </c>
      <c r="D16" s="74"/>
      <c r="E16" s="76">
        <v>18000</v>
      </c>
      <c r="G16" s="76">
        <v>18000</v>
      </c>
      <c r="I16" s="76">
        <v>18000</v>
      </c>
      <c r="K16" s="76">
        <v>18000</v>
      </c>
      <c r="M16" s="77"/>
      <c r="O16" s="77"/>
    </row>
    <row r="17" spans="1:15" s="40" customFormat="1" x14ac:dyDescent="0.2">
      <c r="A17" s="41" t="s">
        <v>229</v>
      </c>
      <c r="B17" s="39"/>
      <c r="C17" s="80">
        <v>0.99</v>
      </c>
      <c r="D17" s="81"/>
      <c r="E17" s="82">
        <v>0.99</v>
      </c>
      <c r="F17" s="83"/>
      <c r="G17" s="82">
        <v>0.99</v>
      </c>
      <c r="I17" s="82">
        <v>0.99</v>
      </c>
      <c r="K17" s="82">
        <v>0.99</v>
      </c>
      <c r="M17" s="84"/>
      <c r="O17" s="77"/>
    </row>
    <row r="18" spans="1:15" s="40" customFormat="1" x14ac:dyDescent="0.2">
      <c r="A18" s="41" t="s">
        <v>230</v>
      </c>
      <c r="B18" s="39"/>
      <c r="C18" s="85">
        <v>0.95</v>
      </c>
      <c r="D18" s="74"/>
      <c r="E18" s="82">
        <v>0.95</v>
      </c>
      <c r="G18" s="82">
        <v>0.95</v>
      </c>
      <c r="I18" s="82">
        <v>0.95</v>
      </c>
      <c r="K18" s="82">
        <v>0.95</v>
      </c>
      <c r="M18" s="84"/>
      <c r="O18" s="77"/>
    </row>
    <row r="19" spans="1:15" s="40" customFormat="1" x14ac:dyDescent="0.2">
      <c r="A19" s="41" t="s">
        <v>231</v>
      </c>
      <c r="B19" s="39"/>
      <c r="C19" s="75">
        <v>62000</v>
      </c>
      <c r="D19" s="74"/>
      <c r="E19" s="76">
        <v>62000</v>
      </c>
      <c r="G19" s="76">
        <v>62000</v>
      </c>
      <c r="I19" s="76">
        <v>62000</v>
      </c>
      <c r="K19" s="76">
        <v>62000</v>
      </c>
      <c r="M19" s="77"/>
      <c r="O19" s="77"/>
    </row>
    <row r="20" spans="1:15" s="40" customFormat="1" x14ac:dyDescent="0.2">
      <c r="A20" s="41" t="s">
        <v>232</v>
      </c>
      <c r="B20" s="39"/>
      <c r="C20" s="75">
        <v>1100000</v>
      </c>
      <c r="D20" s="74"/>
      <c r="E20" s="76">
        <v>1100000</v>
      </c>
      <c r="G20" s="76">
        <v>1100000</v>
      </c>
      <c r="I20" s="76">
        <v>1100000</v>
      </c>
      <c r="K20" s="76">
        <v>1100000</v>
      </c>
      <c r="M20" s="77"/>
      <c r="O20" s="77"/>
    </row>
    <row r="21" spans="1:15" s="40" customFormat="1" x14ac:dyDescent="0.2">
      <c r="A21" s="41" t="s">
        <v>233</v>
      </c>
      <c r="B21" s="39"/>
      <c r="C21" s="75">
        <v>10</v>
      </c>
      <c r="D21" s="74"/>
      <c r="E21" s="76">
        <v>10</v>
      </c>
      <c r="G21" s="76">
        <v>10</v>
      </c>
      <c r="I21" s="76">
        <v>10</v>
      </c>
      <c r="K21" s="76">
        <v>10</v>
      </c>
      <c r="M21" s="77"/>
      <c r="O21" s="77"/>
    </row>
    <row r="22" spans="1:15" s="37" customFormat="1" x14ac:dyDescent="0.2">
      <c r="A22" s="35" t="s">
        <v>234</v>
      </c>
      <c r="B22" s="36"/>
      <c r="C22" s="86"/>
      <c r="D22" s="73"/>
      <c r="E22" s="87"/>
      <c r="G22" s="88"/>
      <c r="I22" s="88"/>
      <c r="K22" s="88"/>
      <c r="M22" s="89"/>
      <c r="O22" s="89"/>
    </row>
    <row r="23" spans="1:15" s="40" customFormat="1" x14ac:dyDescent="0.2">
      <c r="A23" s="41" t="s">
        <v>235</v>
      </c>
      <c r="B23" s="39"/>
      <c r="C23" s="43"/>
      <c r="D23" s="43"/>
      <c r="E23" s="43"/>
      <c r="G23" s="76"/>
      <c r="I23" s="76"/>
      <c r="K23" s="76"/>
      <c r="M23" s="77"/>
      <c r="O23" s="77"/>
    </row>
    <row r="24" spans="1:15" s="40" customFormat="1" x14ac:dyDescent="0.2">
      <c r="A24" s="90" t="s">
        <v>236</v>
      </c>
      <c r="B24" s="39"/>
      <c r="C24" s="91">
        <v>10602</v>
      </c>
      <c r="D24" s="43"/>
      <c r="E24" s="91">
        <v>10500</v>
      </c>
      <c r="G24" s="76">
        <v>11000</v>
      </c>
      <c r="I24" s="76">
        <v>11000</v>
      </c>
      <c r="K24" s="76">
        <v>10500</v>
      </c>
      <c r="M24" s="77"/>
      <c r="O24" s="77"/>
    </row>
    <row r="25" spans="1:15" s="40" customFormat="1" x14ac:dyDescent="0.2">
      <c r="A25" s="35" t="s">
        <v>237</v>
      </c>
      <c r="B25" s="39"/>
      <c r="C25" s="79"/>
      <c r="D25" s="74"/>
      <c r="E25" s="63"/>
      <c r="G25" s="76"/>
      <c r="I25" s="76"/>
      <c r="K25" s="76"/>
      <c r="M25" s="77"/>
    </row>
    <row r="26" spans="1:15" s="40" customFormat="1" x14ac:dyDescent="0.2">
      <c r="A26" s="41" t="s">
        <v>238</v>
      </c>
      <c r="B26" s="39"/>
      <c r="C26" s="75">
        <v>22245754</v>
      </c>
      <c r="D26" s="74"/>
      <c r="E26" s="76">
        <v>20765601</v>
      </c>
      <c r="G26" s="76">
        <v>22400000</v>
      </c>
      <c r="I26" s="76">
        <v>21000000</v>
      </c>
      <c r="K26" s="76">
        <v>21000000</v>
      </c>
      <c r="M26" s="77"/>
    </row>
    <row r="27" spans="1:15" s="40" customFormat="1" x14ac:dyDescent="0.2">
      <c r="A27" s="41" t="s">
        <v>239</v>
      </c>
      <c r="B27" s="39"/>
      <c r="C27" s="75">
        <v>35762489</v>
      </c>
      <c r="D27" s="74"/>
      <c r="E27" s="76">
        <v>36147510</v>
      </c>
      <c r="G27" s="76">
        <v>36000000</v>
      </c>
      <c r="I27" s="76">
        <v>37000836</v>
      </c>
      <c r="K27" s="76">
        <v>37000836</v>
      </c>
      <c r="M27" s="77"/>
    </row>
    <row r="28" spans="1:15" s="37" customFormat="1" x14ac:dyDescent="0.2">
      <c r="A28" s="35" t="s">
        <v>240</v>
      </c>
      <c r="B28" s="36"/>
      <c r="C28" s="73"/>
      <c r="D28" s="73"/>
      <c r="E28" s="87"/>
      <c r="G28" s="88"/>
      <c r="I28" s="88"/>
      <c r="K28" s="88"/>
      <c r="M28" s="89"/>
    </row>
    <row r="29" spans="1:15" s="40" customFormat="1" x14ac:dyDescent="0.2">
      <c r="A29" s="41" t="s">
        <v>241</v>
      </c>
      <c r="B29" s="39"/>
      <c r="C29" s="74"/>
      <c r="D29" s="74"/>
      <c r="E29" s="63"/>
      <c r="G29" s="76"/>
      <c r="I29" s="76"/>
      <c r="K29" s="76"/>
      <c r="M29" s="77"/>
    </row>
    <row r="30" spans="1:15" s="40" customFormat="1" x14ac:dyDescent="0.2">
      <c r="A30" s="90" t="s">
        <v>242</v>
      </c>
      <c r="B30" s="39"/>
      <c r="C30" s="92">
        <v>0.82</v>
      </c>
      <c r="D30" s="74"/>
      <c r="E30" s="82">
        <v>0.77</v>
      </c>
      <c r="G30" s="93">
        <v>0.85</v>
      </c>
      <c r="I30" s="93">
        <v>0.85</v>
      </c>
      <c r="K30" s="93">
        <v>0.85</v>
      </c>
      <c r="M30" s="84"/>
    </row>
    <row r="31" spans="1:15" s="40" customFormat="1" x14ac:dyDescent="0.2">
      <c r="A31" s="90" t="s">
        <v>243</v>
      </c>
      <c r="B31" s="39"/>
      <c r="C31" s="80">
        <v>1</v>
      </c>
      <c r="D31" s="74"/>
      <c r="E31" s="82">
        <v>1</v>
      </c>
      <c r="G31" s="93">
        <v>1</v>
      </c>
      <c r="I31" s="93">
        <v>1</v>
      </c>
      <c r="K31" s="93">
        <v>1</v>
      </c>
      <c r="M31" s="84"/>
    </row>
    <row r="32" spans="1:15" s="40" customFormat="1" x14ac:dyDescent="0.2">
      <c r="A32" s="90" t="s">
        <v>244</v>
      </c>
      <c r="B32" s="39"/>
      <c r="C32" s="80">
        <v>0.96</v>
      </c>
      <c r="D32" s="74"/>
      <c r="E32" s="82">
        <v>0.8</v>
      </c>
      <c r="G32" s="93">
        <v>0.9</v>
      </c>
      <c r="I32" s="93">
        <v>0.9</v>
      </c>
      <c r="K32" s="93">
        <v>0.9</v>
      </c>
      <c r="M32" s="84"/>
    </row>
    <row r="33" spans="1:15" s="40" customFormat="1" x14ac:dyDescent="0.2">
      <c r="A33" s="41" t="s">
        <v>245</v>
      </c>
      <c r="B33" s="39"/>
      <c r="C33" s="75">
        <v>408783048</v>
      </c>
      <c r="D33" s="74"/>
      <c r="E33" s="76">
        <v>315581423</v>
      </c>
      <c r="G33" s="76">
        <v>400000000</v>
      </c>
      <c r="I33" s="76">
        <v>365000000</v>
      </c>
      <c r="K33" s="76">
        <v>365000000</v>
      </c>
      <c r="M33" s="77"/>
    </row>
    <row r="34" spans="1:15" s="40" customFormat="1" x14ac:dyDescent="0.2">
      <c r="A34" s="41" t="s">
        <v>246</v>
      </c>
      <c r="B34" s="39"/>
      <c r="C34" s="75">
        <v>215</v>
      </c>
      <c r="D34" s="74"/>
      <c r="E34" s="76">
        <v>268</v>
      </c>
      <c r="G34" s="76">
        <v>150</v>
      </c>
      <c r="I34" s="76">
        <v>325</v>
      </c>
      <c r="K34" s="76">
        <v>325</v>
      </c>
      <c r="M34" s="77"/>
    </row>
    <row r="35" spans="1:15" s="40" customFormat="1" x14ac:dyDescent="0.2">
      <c r="A35" s="41" t="s">
        <v>247</v>
      </c>
      <c r="B35" s="39"/>
      <c r="C35" s="79"/>
      <c r="D35" s="74"/>
      <c r="E35" s="63"/>
      <c r="G35" s="76"/>
      <c r="I35" s="76"/>
      <c r="K35" s="76"/>
      <c r="M35" s="77"/>
    </row>
    <row r="36" spans="1:15" s="40" customFormat="1" x14ac:dyDescent="0.2">
      <c r="A36" s="94" t="s">
        <v>248</v>
      </c>
      <c r="B36" s="95"/>
      <c r="C36" s="75">
        <v>97</v>
      </c>
      <c r="D36" s="74"/>
      <c r="E36" s="76">
        <v>102</v>
      </c>
      <c r="G36" s="76">
        <v>105</v>
      </c>
      <c r="I36" s="76">
        <v>110</v>
      </c>
      <c r="K36" s="76">
        <v>110</v>
      </c>
      <c r="M36" s="77"/>
    </row>
    <row r="37" spans="1:15" s="37" customFormat="1" x14ac:dyDescent="0.2">
      <c r="A37" s="35" t="s">
        <v>249</v>
      </c>
      <c r="B37" s="36"/>
      <c r="C37" s="86"/>
      <c r="D37" s="73"/>
      <c r="E37" s="87"/>
      <c r="G37" s="88"/>
      <c r="I37" s="88"/>
      <c r="K37" s="88"/>
      <c r="M37" s="89"/>
    </row>
    <row r="38" spans="1:15" s="40" customFormat="1" x14ac:dyDescent="0.2">
      <c r="A38" s="41" t="s">
        <v>250</v>
      </c>
      <c r="B38" s="39"/>
      <c r="C38" s="75">
        <v>222481</v>
      </c>
      <c r="D38" s="74"/>
      <c r="E38" s="76">
        <v>226867</v>
      </c>
      <c r="G38" s="76">
        <v>227581</v>
      </c>
      <c r="I38" s="76">
        <v>231967</v>
      </c>
      <c r="K38" s="76">
        <v>237067</v>
      </c>
      <c r="M38" s="77"/>
    </row>
    <row r="39" spans="1:15" s="40" customFormat="1" x14ac:dyDescent="0.2">
      <c r="A39" s="41" t="s">
        <v>251</v>
      </c>
      <c r="B39" s="39"/>
      <c r="C39" s="75">
        <v>2425</v>
      </c>
      <c r="D39" s="74"/>
      <c r="E39" s="76">
        <v>2499</v>
      </c>
      <c r="G39" s="76">
        <v>2510</v>
      </c>
      <c r="I39" s="76">
        <v>2584</v>
      </c>
      <c r="K39" s="76">
        <v>2669</v>
      </c>
      <c r="M39" s="77"/>
    </row>
    <row r="40" spans="1:15" s="40" customFormat="1" x14ac:dyDescent="0.2">
      <c r="A40" s="41" t="s">
        <v>252</v>
      </c>
      <c r="B40" s="39"/>
      <c r="C40" s="75">
        <v>3906</v>
      </c>
      <c r="D40" s="74"/>
      <c r="E40" s="76">
        <v>3582</v>
      </c>
      <c r="G40" s="76">
        <v>3454</v>
      </c>
      <c r="I40" s="76">
        <v>3454</v>
      </c>
      <c r="K40" s="76">
        <v>3454</v>
      </c>
      <c r="M40" s="77"/>
    </row>
    <row r="41" spans="1:15" s="40" customFormat="1" x14ac:dyDescent="0.2">
      <c r="A41" s="41" t="s">
        <v>253</v>
      </c>
      <c r="B41" s="39"/>
      <c r="C41" s="96">
        <v>11779535</v>
      </c>
      <c r="D41" s="74"/>
      <c r="E41" s="97">
        <v>12750000</v>
      </c>
      <c r="G41" s="97">
        <v>12750000</v>
      </c>
      <c r="I41" s="97">
        <v>12750000</v>
      </c>
      <c r="K41" s="97">
        <v>12750000</v>
      </c>
      <c r="M41" s="98"/>
    </row>
    <row r="42" spans="1:15" s="40" customFormat="1" x14ac:dyDescent="0.2">
      <c r="A42" s="90"/>
      <c r="B42" s="39"/>
      <c r="C42" s="79"/>
      <c r="D42" s="74"/>
      <c r="E42" s="63"/>
    </row>
    <row r="43" spans="1:15" s="37" customFormat="1" x14ac:dyDescent="0.2">
      <c r="A43" s="35" t="s">
        <v>194</v>
      </c>
      <c r="B43" s="36"/>
      <c r="C43" s="86"/>
      <c r="D43" s="73"/>
      <c r="E43" s="87"/>
    </row>
    <row r="44" spans="1:15" s="40" customFormat="1" x14ac:dyDescent="0.2">
      <c r="A44" s="38" t="s">
        <v>254</v>
      </c>
      <c r="B44" s="39"/>
      <c r="C44" s="79"/>
      <c r="D44" s="74"/>
      <c r="E44" s="63"/>
    </row>
    <row r="45" spans="1:15" s="40" customFormat="1" x14ac:dyDescent="0.2">
      <c r="A45" s="41" t="s">
        <v>255</v>
      </c>
      <c r="B45" s="39"/>
      <c r="C45" s="75">
        <v>18</v>
      </c>
      <c r="D45" s="74"/>
      <c r="E45" s="76">
        <v>16</v>
      </c>
      <c r="G45" s="77"/>
      <c r="I45" s="78">
        <v>13</v>
      </c>
      <c r="K45" s="77"/>
      <c r="M45" s="77"/>
    </row>
    <row r="46" spans="1:15" s="40" customFormat="1" x14ac:dyDescent="0.2">
      <c r="A46" s="41" t="s">
        <v>256</v>
      </c>
      <c r="B46" s="39"/>
      <c r="C46" s="99">
        <v>8.6999999999999994E-2</v>
      </c>
      <c r="D46" s="74"/>
      <c r="E46" s="100">
        <v>0.08</v>
      </c>
      <c r="G46" s="101"/>
      <c r="I46" s="100">
        <f>I45/I57</f>
        <v>6.3725490196078427E-2</v>
      </c>
      <c r="K46" s="101"/>
      <c r="M46" s="101"/>
    </row>
    <row r="47" spans="1:15" s="40" customFormat="1" x14ac:dyDescent="0.2">
      <c r="A47" s="41" t="s">
        <v>257</v>
      </c>
      <c r="B47" s="39"/>
      <c r="C47" s="75">
        <v>32</v>
      </c>
      <c r="D47" s="74"/>
      <c r="E47" s="76">
        <v>33</v>
      </c>
      <c r="G47" s="77"/>
      <c r="I47" s="76">
        <v>36</v>
      </c>
      <c r="K47" s="77"/>
      <c r="M47" s="77"/>
    </row>
    <row r="48" spans="1:15" s="40" customFormat="1" x14ac:dyDescent="0.2">
      <c r="A48" s="41" t="s">
        <v>258</v>
      </c>
      <c r="B48" s="39"/>
      <c r="C48" s="99">
        <v>0.155</v>
      </c>
      <c r="D48" s="74"/>
      <c r="E48" s="100">
        <v>0.16600000000000001</v>
      </c>
      <c r="G48" s="101"/>
      <c r="I48" s="100">
        <f>I47/I57</f>
        <v>0.17647058823529413</v>
      </c>
      <c r="K48" s="101"/>
      <c r="M48" s="101"/>
      <c r="O48" s="102"/>
    </row>
    <row r="49" spans="1:13" s="40" customFormat="1" x14ac:dyDescent="0.2">
      <c r="A49" s="41" t="s">
        <v>259</v>
      </c>
      <c r="B49" s="39"/>
      <c r="C49" s="75">
        <v>50</v>
      </c>
      <c r="D49" s="74"/>
      <c r="E49" s="76">
        <v>49</v>
      </c>
      <c r="G49" s="77"/>
      <c r="I49" s="76">
        <v>49</v>
      </c>
      <c r="K49" s="77"/>
      <c r="M49" s="77"/>
    </row>
    <row r="50" spans="1:13" s="40" customFormat="1" x14ac:dyDescent="0.2">
      <c r="A50" s="41" t="s">
        <v>260</v>
      </c>
      <c r="B50" s="39"/>
      <c r="C50" s="99">
        <v>0.24199999999999999</v>
      </c>
      <c r="D50" s="74"/>
      <c r="E50" s="100">
        <v>0.246</v>
      </c>
      <c r="G50" s="101"/>
      <c r="I50" s="100">
        <f>I49/I57</f>
        <v>0.24019607843137256</v>
      </c>
      <c r="K50" s="101"/>
      <c r="M50" s="101"/>
    </row>
    <row r="51" spans="1:13" s="37" customFormat="1" x14ac:dyDescent="0.2">
      <c r="A51" s="35" t="s">
        <v>211</v>
      </c>
      <c r="B51" s="36"/>
      <c r="C51" s="103"/>
      <c r="D51" s="73"/>
      <c r="E51" s="87"/>
    </row>
    <row r="52" spans="1:13" s="37" customFormat="1" x14ac:dyDescent="0.2">
      <c r="A52" s="35" t="s">
        <v>195</v>
      </c>
      <c r="B52" s="36"/>
      <c r="C52" s="86"/>
      <c r="D52" s="73"/>
      <c r="E52" s="87"/>
    </row>
    <row r="53" spans="1:13" s="40" customFormat="1" x14ac:dyDescent="0.2">
      <c r="A53" s="38" t="s">
        <v>196</v>
      </c>
      <c r="B53" s="39"/>
      <c r="C53" s="79"/>
      <c r="D53" s="74"/>
      <c r="E53" s="63"/>
    </row>
    <row r="54" spans="1:13" s="40" customFormat="1" x14ac:dyDescent="0.2">
      <c r="A54" s="41" t="s">
        <v>197</v>
      </c>
      <c r="B54" s="39"/>
      <c r="C54" s="104">
        <v>87</v>
      </c>
      <c r="D54" s="74"/>
      <c r="E54" s="76">
        <v>87</v>
      </c>
      <c r="G54" s="76">
        <v>84</v>
      </c>
      <c r="H54" s="63"/>
      <c r="I54" s="76">
        <v>86</v>
      </c>
      <c r="J54" s="63"/>
      <c r="K54" s="76">
        <v>87</v>
      </c>
      <c r="M54" s="77"/>
    </row>
    <row r="55" spans="1:13" s="40" customFormat="1" x14ac:dyDescent="0.2">
      <c r="A55" s="41" t="s">
        <v>261</v>
      </c>
      <c r="B55" s="39"/>
      <c r="C55" s="104">
        <v>58</v>
      </c>
      <c r="D55" s="74"/>
      <c r="E55" s="76">
        <v>54</v>
      </c>
      <c r="G55" s="76">
        <v>55</v>
      </c>
      <c r="H55" s="63"/>
      <c r="I55" s="76">
        <v>56</v>
      </c>
      <c r="J55" s="63"/>
      <c r="K55" s="76">
        <v>56</v>
      </c>
      <c r="M55" s="77"/>
    </row>
    <row r="56" spans="1:13" s="40" customFormat="1" x14ac:dyDescent="0.2">
      <c r="A56" s="41" t="s">
        <v>262</v>
      </c>
      <c r="B56" s="39"/>
      <c r="C56" s="104">
        <v>62</v>
      </c>
      <c r="D56" s="74"/>
      <c r="E56" s="76">
        <v>58</v>
      </c>
      <c r="G56" s="76">
        <v>60</v>
      </c>
      <c r="H56" s="63"/>
      <c r="I56" s="76">
        <v>62</v>
      </c>
      <c r="J56" s="63"/>
      <c r="K56" s="76">
        <v>62</v>
      </c>
      <c r="M56" s="77"/>
    </row>
    <row r="57" spans="1:13" s="40" customFormat="1" x14ac:dyDescent="0.2">
      <c r="A57" s="41" t="s">
        <v>198</v>
      </c>
      <c r="B57" s="39"/>
      <c r="C57" s="75">
        <f>SUM(C54:C56)</f>
        <v>207</v>
      </c>
      <c r="D57" s="74"/>
      <c r="E57" s="75">
        <f>SUM(E54:E56)</f>
        <v>199</v>
      </c>
      <c r="G57" s="104">
        <f>SUM(G54:G56)</f>
        <v>199</v>
      </c>
      <c r="H57" s="63"/>
      <c r="I57" s="104">
        <f>SUM(I54:I56)</f>
        <v>204</v>
      </c>
      <c r="J57" s="63"/>
      <c r="K57" s="105">
        <f>SUM(K54:K56)</f>
        <v>205</v>
      </c>
      <c r="M57" s="77"/>
    </row>
    <row r="58" spans="1:13" s="40" customFormat="1" x14ac:dyDescent="0.2">
      <c r="A58" s="38" t="s">
        <v>199</v>
      </c>
      <c r="B58" s="39"/>
      <c r="C58" s="106"/>
      <c r="D58" s="74"/>
      <c r="E58" s="63"/>
      <c r="G58" s="63"/>
      <c r="H58" s="63"/>
      <c r="I58" s="63"/>
      <c r="J58" s="63"/>
      <c r="K58" s="76"/>
      <c r="M58" s="77"/>
    </row>
    <row r="59" spans="1:13" s="40" customFormat="1" x14ac:dyDescent="0.2">
      <c r="A59" s="41" t="s">
        <v>223</v>
      </c>
      <c r="B59" s="39"/>
      <c r="C59" s="104">
        <v>20</v>
      </c>
      <c r="D59" s="74"/>
      <c r="E59" s="76">
        <v>19</v>
      </c>
      <c r="G59" s="76">
        <v>21</v>
      </c>
      <c r="H59" s="63"/>
      <c r="I59" s="76">
        <v>21</v>
      </c>
      <c r="J59" s="63"/>
      <c r="K59" s="76">
        <v>21</v>
      </c>
      <c r="M59" s="77"/>
    </row>
    <row r="60" spans="1:13" s="40" customFormat="1" x14ac:dyDescent="0.2">
      <c r="A60" s="41" t="s">
        <v>226</v>
      </c>
      <c r="B60" s="39"/>
      <c r="C60" s="104">
        <v>27</v>
      </c>
      <c r="D60" s="74"/>
      <c r="E60" s="76">
        <v>24</v>
      </c>
      <c r="G60" s="76">
        <v>24</v>
      </c>
      <c r="H60" s="63"/>
      <c r="I60" s="76">
        <v>24</v>
      </c>
      <c r="J60" s="63"/>
      <c r="K60" s="76">
        <v>24</v>
      </c>
      <c r="M60" s="77"/>
    </row>
    <row r="61" spans="1:13" s="40" customFormat="1" x14ac:dyDescent="0.2">
      <c r="A61" s="41" t="s">
        <v>234</v>
      </c>
      <c r="B61" s="39"/>
      <c r="C61" s="104">
        <v>15</v>
      </c>
      <c r="D61" s="74"/>
      <c r="E61" s="76">
        <v>13</v>
      </c>
      <c r="G61" s="76">
        <v>12</v>
      </c>
      <c r="H61" s="63"/>
      <c r="I61" s="76">
        <v>13</v>
      </c>
      <c r="J61" s="63"/>
      <c r="K61" s="76">
        <v>13</v>
      </c>
      <c r="M61" s="77"/>
    </row>
    <row r="62" spans="1:13" s="40" customFormat="1" x14ac:dyDescent="0.2">
      <c r="A62" s="41" t="s">
        <v>237</v>
      </c>
      <c r="B62" s="39"/>
      <c r="C62" s="104">
        <v>61</v>
      </c>
      <c r="D62" s="74"/>
      <c r="E62" s="76">
        <v>59</v>
      </c>
      <c r="G62" s="76">
        <v>58</v>
      </c>
      <c r="H62" s="63"/>
      <c r="I62" s="76">
        <v>57</v>
      </c>
      <c r="J62" s="63"/>
      <c r="K62" s="76">
        <v>56</v>
      </c>
      <c r="M62" s="77"/>
    </row>
    <row r="63" spans="1:13" s="40" customFormat="1" x14ac:dyDescent="0.2">
      <c r="A63" s="41" t="s">
        <v>240</v>
      </c>
      <c r="B63" s="39"/>
      <c r="C63" s="104">
        <v>38</v>
      </c>
      <c r="D63" s="74"/>
      <c r="E63" s="76">
        <v>39</v>
      </c>
      <c r="G63" s="76">
        <v>37</v>
      </c>
      <c r="H63" s="63"/>
      <c r="I63" s="76">
        <v>42</v>
      </c>
      <c r="J63" s="63"/>
      <c r="K63" s="76">
        <v>43</v>
      </c>
      <c r="M63" s="77"/>
    </row>
    <row r="64" spans="1:13" s="40" customFormat="1" x14ac:dyDescent="0.2">
      <c r="A64" s="41" t="s">
        <v>249</v>
      </c>
      <c r="B64" s="39"/>
      <c r="C64" s="104">
        <v>26</v>
      </c>
      <c r="D64" s="74"/>
      <c r="E64" s="76">
        <v>25</v>
      </c>
      <c r="G64" s="76">
        <v>27</v>
      </c>
      <c r="H64" s="63"/>
      <c r="I64" s="76">
        <v>27</v>
      </c>
      <c r="J64" s="63"/>
      <c r="K64" s="76">
        <v>27</v>
      </c>
      <c r="M64" s="77"/>
    </row>
    <row r="65" spans="1:17" s="40" customFormat="1" x14ac:dyDescent="0.2">
      <c r="A65" s="41" t="s">
        <v>263</v>
      </c>
      <c r="B65" s="39"/>
      <c r="C65" s="104">
        <v>20</v>
      </c>
      <c r="D65" s="74"/>
      <c r="E65" s="76">
        <v>20</v>
      </c>
      <c r="G65" s="76">
        <v>20</v>
      </c>
      <c r="H65" s="63"/>
      <c r="I65" s="76">
        <v>20</v>
      </c>
      <c r="J65" s="63"/>
      <c r="K65" s="76">
        <v>21</v>
      </c>
      <c r="M65" s="77"/>
    </row>
    <row r="66" spans="1:17" s="40" customFormat="1" x14ac:dyDescent="0.2">
      <c r="A66" s="41" t="s">
        <v>198</v>
      </c>
      <c r="B66" s="39"/>
      <c r="C66" s="75">
        <f>SUM(C59:C65)</f>
        <v>207</v>
      </c>
      <c r="D66" s="74"/>
      <c r="E66" s="75">
        <f>SUM(E59:E65)</f>
        <v>199</v>
      </c>
      <c r="G66" s="104">
        <f>SUM(G59:G65)</f>
        <v>199</v>
      </c>
      <c r="H66" s="63"/>
      <c r="I66" s="104">
        <f>SUM(I59:I65)</f>
        <v>204</v>
      </c>
      <c r="J66" s="63"/>
      <c r="K66" s="104">
        <f>SUM(K59:K65)</f>
        <v>205</v>
      </c>
      <c r="M66" s="77"/>
    </row>
    <row r="67" spans="1:17" s="37" customFormat="1" x14ac:dyDescent="0.2">
      <c r="A67" s="35"/>
      <c r="B67" s="36"/>
    </row>
    <row r="68" spans="1:17" s="48" customFormat="1" x14ac:dyDescent="0.2">
      <c r="A68" s="46"/>
      <c r="B68" s="47"/>
    </row>
    <row r="69" spans="1:17" s="48" customFormat="1" x14ac:dyDescent="0.2">
      <c r="A69" s="49" t="s">
        <v>200</v>
      </c>
      <c r="B69" s="50"/>
      <c r="C69" s="51"/>
      <c r="D69" s="52"/>
      <c r="E69" s="53"/>
      <c r="F69" s="52"/>
      <c r="G69" s="53"/>
      <c r="H69" s="52"/>
      <c r="I69" s="53"/>
      <c r="J69" s="52"/>
      <c r="K69" s="53"/>
      <c r="L69" s="52"/>
      <c r="M69" s="51"/>
      <c r="N69" s="52"/>
    </row>
    <row r="70" spans="1:17" ht="27" customHeight="1" x14ac:dyDescent="0.2">
      <c r="A70" s="1738" t="s">
        <v>264</v>
      </c>
      <c r="B70" s="1736"/>
      <c r="C70" s="1737"/>
      <c r="D70" s="1736"/>
      <c r="E70" s="1737"/>
      <c r="F70" s="1736"/>
      <c r="G70" s="1737"/>
      <c r="H70" s="1736"/>
      <c r="I70" s="1737"/>
      <c r="J70" s="1736"/>
      <c r="K70" s="1737"/>
      <c r="L70" s="1736"/>
      <c r="M70" s="1737"/>
      <c r="N70" s="1736"/>
      <c r="O70" s="54"/>
      <c r="P70" s="54"/>
      <c r="Q70" s="951"/>
    </row>
    <row r="71" spans="1:17" ht="27.75" customHeight="1" x14ac:dyDescent="0.2">
      <c r="A71" s="1738" t="s">
        <v>265</v>
      </c>
      <c r="B71" s="1736"/>
      <c r="C71" s="1737"/>
      <c r="D71" s="1736"/>
      <c r="E71" s="1737"/>
      <c r="F71" s="1736"/>
      <c r="G71" s="1737"/>
      <c r="H71" s="1736"/>
      <c r="I71" s="1737"/>
      <c r="J71" s="1736"/>
      <c r="K71" s="1737"/>
      <c r="L71" s="1736"/>
      <c r="M71" s="1737"/>
      <c r="N71" s="1736"/>
      <c r="O71" s="54"/>
      <c r="P71" s="54"/>
    </row>
    <row r="72" spans="1:17" x14ac:dyDescent="0.2">
      <c r="A72" s="1738" t="s">
        <v>266</v>
      </c>
      <c r="B72" s="1736"/>
      <c r="C72" s="1737"/>
      <c r="D72" s="1736"/>
      <c r="E72" s="1737"/>
      <c r="F72" s="1736"/>
      <c r="G72" s="1737"/>
      <c r="H72" s="1736"/>
      <c r="I72" s="1737"/>
      <c r="J72" s="1736"/>
      <c r="K72" s="1737"/>
      <c r="L72" s="1736"/>
      <c r="M72" s="1737"/>
      <c r="N72" s="1736"/>
      <c r="O72" s="54"/>
      <c r="P72" s="54"/>
    </row>
    <row r="73" spans="1:17" x14ac:dyDescent="0.2">
      <c r="A73" s="1735"/>
      <c r="B73" s="1736"/>
      <c r="C73" s="1737"/>
      <c r="D73" s="1736"/>
      <c r="E73" s="1737"/>
      <c r="F73" s="1736"/>
      <c r="G73" s="1737"/>
      <c r="H73" s="1736"/>
      <c r="I73" s="1737"/>
      <c r="J73" s="1736"/>
      <c r="K73" s="1737"/>
      <c r="L73" s="1736"/>
      <c r="M73" s="1737"/>
      <c r="N73" s="1736"/>
      <c r="O73" s="54"/>
      <c r="P73" s="54"/>
    </row>
    <row r="74" spans="1:17" x14ac:dyDescent="0.2">
      <c r="O74" s="54"/>
      <c r="P74" s="54"/>
    </row>
    <row r="75" spans="1:17" x14ac:dyDescent="0.2">
      <c r="O75" s="54"/>
      <c r="P75" s="54"/>
    </row>
    <row r="76" spans="1:17" x14ac:dyDescent="0.2">
      <c r="A76" s="1735"/>
      <c r="B76" s="1736"/>
      <c r="C76" s="1737"/>
      <c r="D76" s="1736"/>
      <c r="E76" s="1737"/>
      <c r="F76" s="1736"/>
      <c r="G76" s="1737"/>
      <c r="H76" s="1736"/>
      <c r="I76" s="1737"/>
      <c r="J76" s="1736"/>
      <c r="K76" s="1737"/>
      <c r="L76" s="1736"/>
      <c r="M76" s="1737"/>
      <c r="N76" s="1736"/>
      <c r="O76" s="54"/>
      <c r="P76" s="54"/>
    </row>
    <row r="77" spans="1:17" x14ac:dyDescent="0.2">
      <c r="A77" s="1735"/>
      <c r="B77" s="1736"/>
      <c r="C77" s="1737"/>
      <c r="D77" s="1736"/>
      <c r="E77" s="1737"/>
      <c r="F77" s="1736"/>
      <c r="G77" s="1737"/>
      <c r="H77" s="1736"/>
      <c r="I77" s="1737"/>
      <c r="J77" s="1736"/>
      <c r="K77" s="1737"/>
      <c r="L77" s="1736"/>
      <c r="M77" s="1737"/>
      <c r="N77" s="1736"/>
      <c r="O77" s="54"/>
      <c r="P77" s="54"/>
    </row>
    <row r="78" spans="1:17" x14ac:dyDescent="0.2">
      <c r="A78" s="1735"/>
      <c r="B78" s="1736"/>
      <c r="C78" s="1737"/>
      <c r="D78" s="1736"/>
      <c r="E78" s="1737"/>
      <c r="F78" s="1736"/>
      <c r="G78" s="1737"/>
      <c r="H78" s="1736"/>
      <c r="I78" s="1737"/>
      <c r="J78" s="1736"/>
      <c r="K78" s="1737"/>
      <c r="L78" s="1736"/>
      <c r="M78" s="1737"/>
      <c r="N78" s="1736"/>
      <c r="O78" s="54"/>
      <c r="P78" s="54"/>
    </row>
    <row r="79" spans="1:17" x14ac:dyDescent="0.2">
      <c r="A79" s="1735"/>
      <c r="B79" s="1736"/>
      <c r="C79" s="1737"/>
      <c r="D79" s="1736"/>
      <c r="E79" s="1737"/>
      <c r="F79" s="1736"/>
      <c r="G79" s="1737"/>
      <c r="H79" s="1736"/>
      <c r="I79" s="1737"/>
      <c r="J79" s="1736"/>
      <c r="K79" s="1737"/>
      <c r="L79" s="1736"/>
      <c r="M79" s="1737"/>
      <c r="N79" s="1736"/>
      <c r="O79" s="54"/>
      <c r="P79" s="54"/>
    </row>
    <row r="80" spans="1:17" x14ac:dyDescent="0.2">
      <c r="A80" s="55"/>
      <c r="B80" s="54"/>
      <c r="C80" s="56"/>
      <c r="D80" s="54"/>
      <c r="E80" s="56"/>
      <c r="F80" s="54"/>
      <c r="G80" s="56"/>
      <c r="H80" s="54"/>
      <c r="I80" s="56"/>
      <c r="J80" s="54"/>
      <c r="K80" s="56"/>
      <c r="L80" s="54"/>
      <c r="M80" s="56"/>
      <c r="N80" s="54"/>
      <c r="O80" s="54"/>
      <c r="P80" s="54"/>
    </row>
    <row r="81" spans="1:17" x14ac:dyDescent="0.2">
      <c r="A81" s="55"/>
      <c r="B81" s="54"/>
      <c r="C81" s="107"/>
      <c r="D81" s="54"/>
      <c r="E81" s="107"/>
      <c r="F81" s="54"/>
      <c r="G81" s="107"/>
      <c r="H81" s="54"/>
      <c r="I81" s="107"/>
      <c r="J81" s="54"/>
      <c r="K81" s="107"/>
      <c r="L81" s="54"/>
      <c r="M81" s="107"/>
      <c r="N81" s="54"/>
      <c r="O81" s="54"/>
      <c r="P81" s="54"/>
    </row>
    <row r="82" spans="1:17" x14ac:dyDescent="0.2">
      <c r="A82" s="55"/>
      <c r="B82" s="54"/>
      <c r="C82" s="56"/>
      <c r="D82" s="54"/>
      <c r="E82" s="56"/>
      <c r="F82" s="54"/>
      <c r="G82" s="56"/>
      <c r="H82" s="54"/>
      <c r="I82" s="56"/>
      <c r="J82" s="54"/>
      <c r="K82" s="56"/>
      <c r="L82" s="54"/>
      <c r="M82" s="56"/>
      <c r="N82" s="54"/>
      <c r="O82" s="54"/>
      <c r="P82" s="54"/>
    </row>
    <row r="83" spans="1:17" x14ac:dyDescent="0.2">
      <c r="A83" s="55"/>
      <c r="B83" s="54"/>
      <c r="C83" s="54"/>
      <c r="D83" s="54"/>
      <c r="E83" s="54"/>
      <c r="F83" s="54"/>
      <c r="G83" s="54"/>
      <c r="H83" s="54"/>
      <c r="I83" s="54"/>
      <c r="J83" s="54"/>
      <c r="K83" s="54"/>
      <c r="L83" s="54"/>
      <c r="M83" s="54"/>
      <c r="N83" s="54"/>
      <c r="O83" s="54"/>
      <c r="P83" s="54"/>
    </row>
    <row r="84" spans="1:17" x14ac:dyDescent="0.2">
      <c r="A84" s="55"/>
      <c r="B84" s="54"/>
      <c r="C84" s="56"/>
      <c r="D84" s="54"/>
      <c r="E84" s="56"/>
      <c r="F84" s="54"/>
      <c r="G84" s="56"/>
      <c r="H84" s="54"/>
      <c r="I84" s="56"/>
      <c r="J84" s="54"/>
      <c r="K84" s="56"/>
      <c r="L84" s="54"/>
      <c r="M84" s="56"/>
      <c r="N84" s="54"/>
      <c r="O84" s="54"/>
      <c r="P84" s="54"/>
    </row>
    <row r="85" spans="1:17" x14ac:dyDescent="0.2">
      <c r="A85" s="55"/>
      <c r="B85" s="54"/>
      <c r="C85" s="54"/>
      <c r="D85" s="54"/>
      <c r="E85" s="54"/>
      <c r="F85" s="54"/>
      <c r="G85" s="54"/>
      <c r="H85" s="54"/>
      <c r="I85" s="54"/>
      <c r="J85" s="54"/>
      <c r="K85" s="54"/>
      <c r="L85" s="54"/>
      <c r="M85" s="54"/>
      <c r="N85" s="54"/>
      <c r="O85" s="54"/>
      <c r="P85" s="54"/>
    </row>
    <row r="86" spans="1:17" x14ac:dyDescent="0.2">
      <c r="A86" s="55"/>
      <c r="B86" s="54"/>
      <c r="C86" s="54"/>
      <c r="D86" s="54"/>
      <c r="E86" s="54"/>
      <c r="F86" s="54"/>
      <c r="G86" s="54"/>
      <c r="H86" s="54"/>
      <c r="I86" s="54"/>
      <c r="J86" s="54"/>
      <c r="K86" s="54"/>
      <c r="L86" s="54"/>
      <c r="M86" s="54"/>
      <c r="N86" s="54"/>
      <c r="O86" s="54"/>
      <c r="P86" s="54"/>
    </row>
    <row r="87" spans="1:17" x14ac:dyDescent="0.2">
      <c r="A87" s="55"/>
      <c r="B87" s="54"/>
      <c r="C87" s="54"/>
      <c r="D87" s="54"/>
      <c r="E87" s="54"/>
      <c r="F87" s="54"/>
      <c r="G87" s="54"/>
      <c r="H87" s="54"/>
      <c r="I87" s="54"/>
      <c r="J87" s="54"/>
      <c r="K87" s="54"/>
      <c r="L87" s="54"/>
      <c r="M87" s="54"/>
      <c r="N87" s="54"/>
      <c r="O87" s="54"/>
      <c r="P87" s="54"/>
      <c r="Q87" s="57"/>
    </row>
    <row r="88" spans="1:17" x14ac:dyDescent="0.2">
      <c r="B88" s="25"/>
      <c r="C88" s="25"/>
      <c r="D88" s="25"/>
      <c r="E88" s="58"/>
      <c r="F88" s="58"/>
      <c r="G88" s="58"/>
      <c r="H88" s="58"/>
    </row>
    <row r="89" spans="1:17" x14ac:dyDescent="0.2">
      <c r="B89" s="25"/>
      <c r="C89" s="25"/>
      <c r="D89" s="25"/>
      <c r="E89" s="58"/>
      <c r="F89" s="58"/>
      <c r="G89" s="58"/>
      <c r="H89" s="58"/>
    </row>
    <row r="90" spans="1:17" x14ac:dyDescent="0.2">
      <c r="B90" s="25"/>
      <c r="C90" s="25"/>
      <c r="D90" s="25"/>
      <c r="E90" s="58"/>
      <c r="F90" s="58"/>
      <c r="G90" s="58"/>
      <c r="H90" s="58"/>
    </row>
    <row r="91" spans="1:17" x14ac:dyDescent="0.2">
      <c r="B91" s="25"/>
      <c r="C91" s="25"/>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sheetData>
  <mergeCells count="9">
    <mergeCell ref="A78:N78"/>
    <mergeCell ref="A79:N79"/>
    <mergeCell ref="K2:K3"/>
    <mergeCell ref="A70:N70"/>
    <mergeCell ref="A71:N71"/>
    <mergeCell ref="A72:N72"/>
    <mergeCell ref="A73:N73"/>
    <mergeCell ref="A76:N76"/>
    <mergeCell ref="A77:N77"/>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77" fitToHeight="99" pageOrder="overThenDown" orientation="portrait" blackAndWhite="1"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3">
    <pageSetUpPr fitToPage="1"/>
  </sheetPr>
  <dimension ref="A1:P7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572" customWidth="1"/>
    <col min="2" max="2" width="6.42578125" style="1573" customWidth="1"/>
    <col min="3" max="3" width="11.140625" style="1426" customWidth="1"/>
    <col min="4" max="4" width="4.5703125" style="1601" customWidth="1"/>
    <col min="5" max="5" width="11.140625" style="1600" customWidth="1"/>
    <col min="6" max="6" width="2.85546875" style="1602" customWidth="1"/>
    <col min="7" max="7" width="13.7109375" style="1600" hidden="1" customWidth="1"/>
    <col min="8" max="8" width="3.140625" style="1602" hidden="1" customWidth="1"/>
    <col min="9" max="9" width="11.140625" style="1600" customWidth="1"/>
    <col min="10" max="10" width="3.140625" style="1602" bestFit="1" customWidth="1"/>
    <col min="11" max="11" width="11.140625" style="1600" customWidth="1"/>
    <col min="12" max="12" width="3.140625" style="1602" bestFit="1" customWidth="1"/>
    <col min="13" max="13" width="11.140625" style="1600" hidden="1" customWidth="1"/>
    <col min="14" max="14" width="3.140625" style="1602" hidden="1" customWidth="1"/>
    <col min="15" max="15" width="35.5703125" style="1576" customWidth="1"/>
    <col min="16" max="16384" width="9.140625" style="1576"/>
  </cols>
  <sheetData>
    <row r="1" spans="1:14" s="1551" customFormat="1" ht="15.75" x14ac:dyDescent="0.2">
      <c r="A1" s="1548" t="s">
        <v>174</v>
      </c>
      <c r="B1" s="1549">
        <v>2019</v>
      </c>
      <c r="C1" s="1634"/>
      <c r="E1" s="1550"/>
      <c r="G1" s="1552"/>
      <c r="I1" s="1552"/>
      <c r="J1" s="1553"/>
      <c r="K1" s="1552"/>
      <c r="L1" s="1553"/>
      <c r="M1" s="1552"/>
      <c r="N1" s="1553"/>
    </row>
    <row r="2" spans="1:14" s="1551" customFormat="1" ht="15.75" x14ac:dyDescent="0.25">
      <c r="A2" s="1548" t="s">
        <v>175</v>
      </c>
      <c r="B2" s="1554" t="s">
        <v>176</v>
      </c>
      <c r="C2" s="1635" t="s">
        <v>0</v>
      </c>
      <c r="D2" s="1553"/>
      <c r="E2" s="1555"/>
      <c r="F2" s="1556"/>
      <c r="G2" s="1555"/>
      <c r="H2" s="1553"/>
      <c r="I2" s="1555"/>
      <c r="J2" s="1553"/>
      <c r="K2" s="1733" t="s">
        <v>171</v>
      </c>
      <c r="L2" s="1553"/>
      <c r="M2" s="1555"/>
      <c r="N2" s="1553"/>
    </row>
    <row r="3" spans="1:14" s="1551" customFormat="1" ht="15.75" x14ac:dyDescent="0.25">
      <c r="A3" s="1548" t="s">
        <v>177</v>
      </c>
      <c r="B3" s="1557" t="s">
        <v>1496</v>
      </c>
      <c r="C3" s="1636" t="s">
        <v>1896</v>
      </c>
      <c r="D3" s="1553"/>
      <c r="E3" s="1558"/>
      <c r="F3" s="1556"/>
      <c r="G3" s="1558"/>
      <c r="H3" s="1553"/>
      <c r="I3" s="1558"/>
      <c r="J3" s="1553"/>
      <c r="K3" s="1734"/>
      <c r="L3" s="1553"/>
      <c r="M3" s="1558"/>
      <c r="N3" s="1553"/>
    </row>
    <row r="4" spans="1:14" s="1551" customFormat="1" ht="15.75" x14ac:dyDescent="0.25">
      <c r="A4" s="1548" t="s">
        <v>2184</v>
      </c>
      <c r="B4" s="1557" t="s">
        <v>1897</v>
      </c>
      <c r="C4" s="1636" t="s">
        <v>46</v>
      </c>
      <c r="D4" s="1553"/>
      <c r="E4" s="1558"/>
      <c r="F4" s="1556"/>
      <c r="G4" s="1558"/>
      <c r="H4" s="1553"/>
      <c r="I4" s="1558"/>
      <c r="J4" s="1553"/>
      <c r="K4" s="1558"/>
      <c r="L4" s="1553"/>
      <c r="M4" s="1558"/>
      <c r="N4" s="1553"/>
    </row>
    <row r="5" spans="1:14" s="1551" customFormat="1" ht="15.75" x14ac:dyDescent="0.2">
      <c r="A5" s="1548" t="s">
        <v>183</v>
      </c>
      <c r="B5" s="1559" t="s">
        <v>2185</v>
      </c>
      <c r="C5" s="1637" t="s">
        <v>59</v>
      </c>
      <c r="D5" s="1560"/>
      <c r="E5" s="1561"/>
      <c r="G5" s="1561"/>
      <c r="I5" s="1561"/>
      <c r="K5" s="1561"/>
      <c r="M5" s="1561"/>
    </row>
    <row r="6" spans="1:14" s="1551" customFormat="1" ht="15.75" x14ac:dyDescent="0.25">
      <c r="A6" s="1562" t="s">
        <v>186</v>
      </c>
      <c r="B6" s="1563">
        <v>4</v>
      </c>
      <c r="C6" s="1638"/>
      <c r="D6" s="1565"/>
      <c r="E6" s="1639"/>
      <c r="F6" s="1640"/>
      <c r="G6" s="1641"/>
      <c r="H6" s="1642"/>
      <c r="I6" s="1641"/>
      <c r="J6" s="1642"/>
      <c r="K6" s="1641"/>
      <c r="L6" s="1642"/>
      <c r="M6" s="1641"/>
      <c r="N6" s="1642"/>
    </row>
    <row r="7" spans="1:14" s="1571" customFormat="1" x14ac:dyDescent="0.2">
      <c r="A7" s="1567"/>
      <c r="B7" s="1568"/>
      <c r="C7" s="1643"/>
      <c r="D7" s="1570"/>
      <c r="E7" s="1569"/>
      <c r="F7" s="1570"/>
      <c r="G7" s="1569"/>
      <c r="H7" s="1570"/>
      <c r="I7" s="1569"/>
      <c r="J7" s="1570"/>
      <c r="K7" s="1569" t="s">
        <v>187</v>
      </c>
      <c r="L7" s="1570"/>
      <c r="M7" s="1569" t="s">
        <v>187</v>
      </c>
      <c r="N7" s="1570"/>
    </row>
    <row r="8" spans="1:14" x14ac:dyDescent="0.2">
      <c r="C8" s="1644" t="s">
        <v>188</v>
      </c>
      <c r="D8" s="1575" t="s">
        <v>189</v>
      </c>
      <c r="E8" s="1574" t="s">
        <v>188</v>
      </c>
      <c r="F8" s="1575" t="s">
        <v>189</v>
      </c>
      <c r="G8" s="1574" t="s">
        <v>190</v>
      </c>
      <c r="H8" s="1575" t="s">
        <v>189</v>
      </c>
      <c r="I8" s="1574" t="s">
        <v>191</v>
      </c>
      <c r="J8" s="1575" t="s">
        <v>189</v>
      </c>
      <c r="K8" s="1574" t="s">
        <v>192</v>
      </c>
      <c r="L8" s="1575" t="s">
        <v>189</v>
      </c>
      <c r="M8" s="1574" t="s">
        <v>192</v>
      </c>
      <c r="N8" s="1575" t="s">
        <v>189</v>
      </c>
    </row>
    <row r="9" spans="1:14" s="1571" customFormat="1" ht="14.25" x14ac:dyDescent="0.2">
      <c r="A9" s="1577"/>
      <c r="B9" s="1578"/>
      <c r="C9" s="1645" t="str">
        <f>"FY " &amp; FiscalYear - 3</f>
        <v>FY 2016</v>
      </c>
      <c r="D9" s="1580" t="s">
        <v>193</v>
      </c>
      <c r="E9" s="1579" t="str">
        <f>"FY " &amp; FiscalYear - 2</f>
        <v>FY 2017</v>
      </c>
      <c r="F9" s="1580" t="s">
        <v>193</v>
      </c>
      <c r="G9" s="1579" t="str">
        <f>"FY " &amp; FiscalYear - 1</f>
        <v>FY 2018</v>
      </c>
      <c r="H9" s="1580" t="s">
        <v>193</v>
      </c>
      <c r="I9" s="1581" t="str">
        <f>"FY " &amp; FiscalYear - 1</f>
        <v>FY 2018</v>
      </c>
      <c r="J9" s="1580" t="s">
        <v>193</v>
      </c>
      <c r="K9" s="1581" t="str">
        <f>"FY " &amp; FiscalYear</f>
        <v>FY 2019</v>
      </c>
      <c r="L9" s="1580" t="s">
        <v>193</v>
      </c>
      <c r="M9" s="1581" t="str">
        <f>"FY " &amp; FiscalYear + 1</f>
        <v>FY 2020</v>
      </c>
      <c r="N9" s="1580" t="s">
        <v>193</v>
      </c>
    </row>
    <row r="10" spans="1:14" s="1584" customFormat="1" x14ac:dyDescent="0.2">
      <c r="A10" s="1582" t="s">
        <v>222</v>
      </c>
      <c r="B10" s="1583"/>
      <c r="M10" s="1646"/>
    </row>
    <row r="11" spans="1:14" s="1584" customFormat="1" x14ac:dyDescent="0.2">
      <c r="A11" s="1582" t="s">
        <v>1968</v>
      </c>
      <c r="B11" s="1583"/>
      <c r="M11" s="1646"/>
    </row>
    <row r="12" spans="1:14" s="1588" customFormat="1" x14ac:dyDescent="0.2">
      <c r="A12" s="1647" t="s">
        <v>1969</v>
      </c>
      <c r="B12" s="1586"/>
      <c r="C12" s="1616">
        <v>7275</v>
      </c>
      <c r="D12" s="1648"/>
      <c r="E12" s="1616">
        <v>7159</v>
      </c>
      <c r="F12" s="1619"/>
      <c r="G12" s="1616">
        <v>7159</v>
      </c>
      <c r="H12" s="1619"/>
      <c r="I12" s="1616">
        <v>7367</v>
      </c>
      <c r="J12" s="1619"/>
      <c r="K12" s="1616">
        <v>7367</v>
      </c>
      <c r="M12" s="1649"/>
    </row>
    <row r="13" spans="1:14" s="1588" customFormat="1" x14ac:dyDescent="0.2">
      <c r="A13" s="1647" t="s">
        <v>1970</v>
      </c>
      <c r="B13" s="1586"/>
      <c r="C13" s="1616">
        <v>6912</v>
      </c>
      <c r="D13" s="1648"/>
      <c r="E13" s="1616">
        <v>6929</v>
      </c>
      <c r="F13" s="1619"/>
      <c r="G13" s="1616">
        <v>6929</v>
      </c>
      <c r="H13" s="1619"/>
      <c r="I13" s="1616">
        <v>7099</v>
      </c>
      <c r="J13" s="1619"/>
      <c r="K13" s="1616">
        <v>7099</v>
      </c>
      <c r="M13" s="1649"/>
    </row>
    <row r="14" spans="1:14" s="1588" customFormat="1" x14ac:dyDescent="0.2">
      <c r="A14" s="1585" t="s">
        <v>1971</v>
      </c>
      <c r="B14" s="1615"/>
      <c r="C14" s="1616">
        <v>6758</v>
      </c>
      <c r="D14" s="1648"/>
      <c r="E14" s="1616">
        <v>6684</v>
      </c>
      <c r="F14" s="1619"/>
      <c r="G14" s="1616">
        <v>6684</v>
      </c>
      <c r="H14" s="1619"/>
      <c r="I14" s="1616">
        <v>6875</v>
      </c>
      <c r="J14" s="1619"/>
      <c r="K14" s="1616">
        <v>6875</v>
      </c>
      <c r="M14" s="1650"/>
    </row>
    <row r="15" spans="1:14" s="1588" customFormat="1" x14ac:dyDescent="0.2">
      <c r="A15" s="1585" t="s">
        <v>1972</v>
      </c>
      <c r="B15" s="1615"/>
      <c r="C15" s="1616">
        <v>6610</v>
      </c>
      <c r="D15" s="1648"/>
      <c r="E15" s="1616">
        <v>6639</v>
      </c>
      <c r="F15" s="1619"/>
      <c r="G15" s="1616">
        <v>6639</v>
      </c>
      <c r="H15" s="1619"/>
      <c r="I15" s="1616">
        <v>6814</v>
      </c>
      <c r="J15" s="1619"/>
      <c r="K15" s="1616">
        <v>6814</v>
      </c>
      <c r="M15" s="1650"/>
    </row>
    <row r="16" spans="1:14" s="1588" customFormat="1" x14ac:dyDescent="0.2">
      <c r="A16" s="1651" t="s">
        <v>1973</v>
      </c>
      <c r="B16" s="1615"/>
      <c r="C16" s="1616">
        <v>6486</v>
      </c>
      <c r="D16" s="1648"/>
      <c r="E16" s="1616">
        <v>6496</v>
      </c>
      <c r="F16" s="1619"/>
      <c r="G16" s="1616">
        <v>6496</v>
      </c>
      <c r="H16" s="1619"/>
      <c r="I16" s="1616">
        <v>6721</v>
      </c>
      <c r="J16" s="1619"/>
      <c r="K16" s="1616">
        <v>6721</v>
      </c>
      <c r="M16" s="1652"/>
    </row>
    <row r="17" spans="1:13" s="1588" customFormat="1" x14ac:dyDescent="0.2">
      <c r="A17" s="1651" t="s">
        <v>1974</v>
      </c>
      <c r="B17" s="1615"/>
      <c r="C17" s="1616">
        <v>6507</v>
      </c>
      <c r="D17" s="1648"/>
      <c r="E17" s="1616">
        <v>6558</v>
      </c>
      <c r="F17" s="1619"/>
      <c r="G17" s="1616">
        <v>6558</v>
      </c>
      <c r="H17" s="1619"/>
      <c r="I17" s="1616">
        <v>6751</v>
      </c>
      <c r="J17" s="1619"/>
      <c r="K17" s="1616">
        <v>6751</v>
      </c>
      <c r="M17" s="1652"/>
    </row>
    <row r="18" spans="1:13" s="1588" customFormat="1" x14ac:dyDescent="0.2">
      <c r="A18" s="1651" t="s">
        <v>1975</v>
      </c>
      <c r="B18" s="1615"/>
      <c r="C18" s="1616">
        <v>272</v>
      </c>
      <c r="D18" s="1648"/>
      <c r="E18" s="1616">
        <v>188</v>
      </c>
      <c r="F18" s="1619"/>
      <c r="G18" s="1616">
        <v>188</v>
      </c>
      <c r="H18" s="1619"/>
      <c r="I18" s="1616">
        <v>154</v>
      </c>
      <c r="J18" s="1619"/>
      <c r="K18" s="1616">
        <v>154</v>
      </c>
      <c r="M18" s="1652"/>
    </row>
    <row r="19" spans="1:13" s="1588" customFormat="1" x14ac:dyDescent="0.2">
      <c r="A19" s="1651" t="s">
        <v>1976</v>
      </c>
      <c r="B19" s="1615"/>
      <c r="C19" s="1616">
        <v>103</v>
      </c>
      <c r="D19" s="1648"/>
      <c r="E19" s="1616">
        <v>81</v>
      </c>
      <c r="F19" s="1619"/>
      <c r="G19" s="1616">
        <v>81</v>
      </c>
      <c r="H19" s="1619"/>
      <c r="I19" s="1616">
        <v>63</v>
      </c>
      <c r="J19" s="1619"/>
      <c r="K19" s="1616">
        <v>63</v>
      </c>
      <c r="M19" s="1652"/>
    </row>
    <row r="20" spans="1:13" s="1588" customFormat="1" x14ac:dyDescent="0.2">
      <c r="A20" s="1585" t="s">
        <v>1977</v>
      </c>
      <c r="B20" s="1615"/>
      <c r="C20" s="1616">
        <v>517</v>
      </c>
      <c r="D20" s="1648"/>
      <c r="E20" s="1616">
        <v>475</v>
      </c>
      <c r="F20" s="1619"/>
      <c r="G20" s="1616">
        <v>475</v>
      </c>
      <c r="H20" s="1619"/>
      <c r="I20" s="1616">
        <v>492</v>
      </c>
      <c r="J20" s="1619"/>
      <c r="K20" s="1616">
        <v>492</v>
      </c>
      <c r="M20" s="1650"/>
    </row>
    <row r="21" spans="1:13" s="1588" customFormat="1" x14ac:dyDescent="0.2">
      <c r="A21" s="1585" t="s">
        <v>1978</v>
      </c>
      <c r="B21" s="1615"/>
      <c r="C21" s="1616">
        <v>302</v>
      </c>
      <c r="D21" s="1648"/>
      <c r="E21" s="1616">
        <v>290</v>
      </c>
      <c r="F21" s="1619"/>
      <c r="G21" s="1616">
        <v>290</v>
      </c>
      <c r="H21" s="1619"/>
      <c r="I21" s="1616">
        <v>285</v>
      </c>
      <c r="J21" s="1619"/>
      <c r="K21" s="1616">
        <v>285</v>
      </c>
      <c r="M21" s="1650"/>
    </row>
    <row r="22" spans="1:13" s="1588" customFormat="1" x14ac:dyDescent="0.2">
      <c r="A22" s="1651" t="s">
        <v>1973</v>
      </c>
      <c r="B22" s="1615"/>
      <c r="C22" s="1616">
        <v>225</v>
      </c>
      <c r="D22" s="1648"/>
      <c r="E22" s="1616">
        <v>197</v>
      </c>
      <c r="F22" s="1619"/>
      <c r="G22" s="1616">
        <v>197</v>
      </c>
      <c r="H22" s="1619"/>
      <c r="I22" s="1616">
        <v>201</v>
      </c>
      <c r="J22" s="1619"/>
      <c r="K22" s="1616">
        <v>201</v>
      </c>
      <c r="M22" s="1652"/>
    </row>
    <row r="23" spans="1:13" s="1588" customFormat="1" x14ac:dyDescent="0.2">
      <c r="A23" s="1651" t="s">
        <v>1974</v>
      </c>
      <c r="B23" s="1615"/>
      <c r="C23" s="1616">
        <v>199</v>
      </c>
      <c r="D23" s="1648"/>
      <c r="E23" s="1616">
        <v>190</v>
      </c>
      <c r="F23" s="1619"/>
      <c r="G23" s="1616">
        <v>190</v>
      </c>
      <c r="H23" s="1619"/>
      <c r="I23" s="1616">
        <v>177</v>
      </c>
      <c r="J23" s="1619"/>
      <c r="K23" s="1616">
        <v>177</v>
      </c>
      <c r="M23" s="1652"/>
    </row>
    <row r="24" spans="1:13" s="1588" customFormat="1" x14ac:dyDescent="0.2">
      <c r="A24" s="1651" t="s">
        <v>1975</v>
      </c>
      <c r="B24" s="1615"/>
      <c r="C24" s="1616">
        <v>292</v>
      </c>
      <c r="D24" s="1648"/>
      <c r="E24" s="1616">
        <v>278</v>
      </c>
      <c r="F24" s="1619"/>
      <c r="G24" s="1616">
        <v>278</v>
      </c>
      <c r="H24" s="1619"/>
      <c r="I24" s="1616">
        <v>291</v>
      </c>
      <c r="J24" s="1619"/>
      <c r="K24" s="1616">
        <v>291</v>
      </c>
      <c r="M24" s="1652"/>
    </row>
    <row r="25" spans="1:13" s="1588" customFormat="1" x14ac:dyDescent="0.2">
      <c r="A25" s="1651" t="s">
        <v>1976</v>
      </c>
      <c r="B25" s="1615"/>
      <c r="C25" s="1616">
        <v>103</v>
      </c>
      <c r="D25" s="1648"/>
      <c r="E25" s="1616">
        <v>100</v>
      </c>
      <c r="F25" s="1619"/>
      <c r="G25" s="1616">
        <v>100</v>
      </c>
      <c r="H25" s="1619"/>
      <c r="I25" s="1616">
        <v>108</v>
      </c>
      <c r="J25" s="1619"/>
      <c r="K25" s="1616">
        <v>108</v>
      </c>
      <c r="M25" s="1652"/>
    </row>
    <row r="26" spans="1:13" s="1588" customFormat="1" x14ac:dyDescent="0.2">
      <c r="A26" s="1614" t="s">
        <v>1981</v>
      </c>
      <c r="B26" s="1615"/>
      <c r="C26" s="1616">
        <v>75</v>
      </c>
      <c r="D26" s="1648"/>
      <c r="E26" s="1616">
        <v>75</v>
      </c>
      <c r="F26" s="1619"/>
      <c r="G26" s="1616">
        <v>75</v>
      </c>
      <c r="H26" s="1619"/>
      <c r="I26" s="1616">
        <v>75</v>
      </c>
      <c r="J26" s="1619"/>
      <c r="K26" s="1616">
        <v>75</v>
      </c>
      <c r="M26" s="1652"/>
    </row>
    <row r="27" spans="1:13" s="1588" customFormat="1" x14ac:dyDescent="0.2">
      <c r="A27" s="1647" t="s">
        <v>1982</v>
      </c>
      <c r="B27" s="1586"/>
      <c r="C27" s="1616">
        <v>2710</v>
      </c>
      <c r="D27" s="1648"/>
      <c r="E27" s="1616">
        <v>2751</v>
      </c>
      <c r="F27" s="1619"/>
      <c r="G27" s="1616">
        <v>2751</v>
      </c>
      <c r="H27" s="1619"/>
      <c r="I27" s="1616">
        <v>2645</v>
      </c>
      <c r="J27" s="1619"/>
      <c r="K27" s="1616">
        <v>2645</v>
      </c>
      <c r="M27" s="1652"/>
    </row>
    <row r="28" spans="1:13" s="1588" customFormat="1" x14ac:dyDescent="0.2">
      <c r="A28" s="1647" t="s">
        <v>1983</v>
      </c>
      <c r="B28" s="1586"/>
      <c r="C28" s="1616"/>
      <c r="D28" s="1648"/>
      <c r="E28" s="1616"/>
      <c r="F28" s="1619"/>
      <c r="G28" s="1616"/>
      <c r="H28" s="1619"/>
      <c r="I28" s="1616"/>
      <c r="J28" s="1619"/>
      <c r="K28" s="1653"/>
      <c r="M28" s="1652"/>
    </row>
    <row r="29" spans="1:13" s="1588" customFormat="1" x14ac:dyDescent="0.2">
      <c r="A29" s="1585" t="s">
        <v>1984</v>
      </c>
      <c r="B29" s="1586"/>
      <c r="C29" s="1616">
        <v>1538</v>
      </c>
      <c r="D29" s="1648"/>
      <c r="E29" s="1616">
        <v>1647</v>
      </c>
      <c r="F29" s="1619"/>
      <c r="G29" s="1616">
        <v>1647</v>
      </c>
      <c r="H29" s="1619"/>
      <c r="I29" s="1616">
        <v>1586</v>
      </c>
      <c r="J29" s="1619"/>
      <c r="K29" s="1616">
        <v>1586</v>
      </c>
      <c r="M29" s="1652"/>
    </row>
    <row r="30" spans="1:13" s="1588" customFormat="1" x14ac:dyDescent="0.2">
      <c r="A30" s="1585" t="s">
        <v>1985</v>
      </c>
      <c r="B30" s="1586"/>
      <c r="C30" s="1616">
        <v>375</v>
      </c>
      <c r="D30" s="1648"/>
      <c r="E30" s="1616">
        <v>404</v>
      </c>
      <c r="F30" s="1619"/>
      <c r="G30" s="1616">
        <v>404</v>
      </c>
      <c r="H30" s="1619"/>
      <c r="I30" s="1616">
        <v>404</v>
      </c>
      <c r="J30" s="1619"/>
      <c r="K30" s="1616">
        <v>404</v>
      </c>
      <c r="M30" s="1652"/>
    </row>
    <row r="31" spans="1:13" s="1588" customFormat="1" x14ac:dyDescent="0.2">
      <c r="A31" s="1647" t="s">
        <v>2175</v>
      </c>
      <c r="B31" s="1586"/>
      <c r="C31" s="1654" t="s">
        <v>2148</v>
      </c>
      <c r="D31" s="1648"/>
      <c r="E31" s="1654" t="s">
        <v>2148</v>
      </c>
      <c r="F31" s="1619"/>
      <c r="G31" s="1654" t="s">
        <v>2148</v>
      </c>
      <c r="H31" s="1619"/>
      <c r="I31" s="1654" t="s">
        <v>2148</v>
      </c>
      <c r="J31" s="1619"/>
      <c r="K31" s="1654" t="s">
        <v>2148</v>
      </c>
      <c r="M31" s="1655"/>
    </row>
    <row r="32" spans="1:13" s="1588" customFormat="1" x14ac:dyDescent="0.2">
      <c r="A32" s="1647" t="s">
        <v>2019</v>
      </c>
      <c r="B32" s="1586"/>
      <c r="C32" s="1648"/>
      <c r="D32" s="1648"/>
      <c r="E32" s="1648"/>
      <c r="F32" s="1619"/>
      <c r="G32" s="1648"/>
      <c r="H32" s="1619"/>
      <c r="I32" s="1648"/>
      <c r="J32" s="1619"/>
      <c r="K32" s="1648"/>
      <c r="M32" s="1652"/>
    </row>
    <row r="33" spans="1:13" s="1588" customFormat="1" x14ac:dyDescent="0.2">
      <c r="A33" s="1585" t="s">
        <v>2084</v>
      </c>
      <c r="B33" s="1586"/>
      <c r="C33" s="1616">
        <v>3025</v>
      </c>
      <c r="D33" s="1648"/>
      <c r="E33" s="1616">
        <v>3056</v>
      </c>
      <c r="F33" s="1619"/>
      <c r="G33" s="1616">
        <v>3056</v>
      </c>
      <c r="H33" s="1619"/>
      <c r="I33" s="1616">
        <v>3050</v>
      </c>
      <c r="J33" s="1619"/>
      <c r="K33" s="1616">
        <v>3050</v>
      </c>
      <c r="M33" s="1649"/>
    </row>
    <row r="34" spans="1:13" s="1588" customFormat="1" x14ac:dyDescent="0.2">
      <c r="A34" s="1585" t="s">
        <v>2128</v>
      </c>
      <c r="B34" s="1586"/>
      <c r="C34" s="1616">
        <v>1182</v>
      </c>
      <c r="D34" s="1648"/>
      <c r="E34" s="1616">
        <v>1171</v>
      </c>
      <c r="F34" s="1619"/>
      <c r="G34" s="1616">
        <v>1171</v>
      </c>
      <c r="H34" s="1619"/>
      <c r="I34" s="1616">
        <v>1103</v>
      </c>
      <c r="J34" s="1619"/>
      <c r="K34" s="1616">
        <v>1103</v>
      </c>
      <c r="M34" s="1649"/>
    </row>
    <row r="35" spans="1:13" s="1588" customFormat="1" x14ac:dyDescent="0.2">
      <c r="A35" s="1651" t="s">
        <v>2129</v>
      </c>
      <c r="B35" s="1586"/>
      <c r="C35" s="1616">
        <v>1379</v>
      </c>
      <c r="D35" s="1648"/>
      <c r="E35" s="1616">
        <v>1228</v>
      </c>
      <c r="F35" s="1619"/>
      <c r="G35" s="1616">
        <v>1228</v>
      </c>
      <c r="H35" s="1619"/>
      <c r="I35" s="1616">
        <v>1252</v>
      </c>
      <c r="J35" s="1619"/>
      <c r="K35" s="1616">
        <v>1252</v>
      </c>
      <c r="M35" s="1652"/>
    </row>
    <row r="36" spans="1:13" s="1588" customFormat="1" x14ac:dyDescent="0.2">
      <c r="A36" s="1651" t="s">
        <v>2130</v>
      </c>
      <c r="B36" s="1586"/>
      <c r="C36" s="1616">
        <v>454</v>
      </c>
      <c r="D36" s="1648"/>
      <c r="E36" s="1616">
        <v>405</v>
      </c>
      <c r="F36" s="1619"/>
      <c r="G36" s="1616">
        <v>405</v>
      </c>
      <c r="H36" s="1619"/>
      <c r="I36" s="1616">
        <v>411</v>
      </c>
      <c r="J36" s="1619"/>
      <c r="K36" s="1616">
        <v>411</v>
      </c>
      <c r="M36" s="1652"/>
    </row>
    <row r="37" spans="1:13" s="1588" customFormat="1" x14ac:dyDescent="0.2">
      <c r="A37" s="1651" t="s">
        <v>2131</v>
      </c>
      <c r="B37" s="1586"/>
      <c r="C37" s="1616">
        <v>632</v>
      </c>
      <c r="D37" s="1648"/>
      <c r="E37" s="1616">
        <v>676</v>
      </c>
      <c r="F37" s="1619"/>
      <c r="G37" s="1616">
        <v>676</v>
      </c>
      <c r="H37" s="1619"/>
      <c r="I37" s="1616">
        <v>621</v>
      </c>
      <c r="J37" s="1619"/>
      <c r="K37" s="1616">
        <v>621</v>
      </c>
      <c r="M37" s="1652"/>
    </row>
    <row r="38" spans="1:13" s="1588" customFormat="1" x14ac:dyDescent="0.2">
      <c r="A38" s="1651" t="s">
        <v>2132</v>
      </c>
      <c r="B38" s="1586"/>
      <c r="C38" s="1616">
        <v>255</v>
      </c>
      <c r="D38" s="1648"/>
      <c r="E38" s="1616">
        <v>318</v>
      </c>
      <c r="F38" s="1619"/>
      <c r="G38" s="1616">
        <v>318</v>
      </c>
      <c r="H38" s="1619"/>
      <c r="I38" s="1616">
        <v>232</v>
      </c>
      <c r="J38" s="1619"/>
      <c r="K38" s="1616">
        <v>232</v>
      </c>
      <c r="M38" s="1652"/>
    </row>
    <row r="39" spans="1:13" s="1588" customFormat="1" x14ac:dyDescent="0.2">
      <c r="A39" s="1651" t="s">
        <v>2186</v>
      </c>
      <c r="B39" s="1586"/>
      <c r="C39" s="1616">
        <v>1014</v>
      </c>
      <c r="D39" s="1648"/>
      <c r="E39" s="1616">
        <v>1152</v>
      </c>
      <c r="F39" s="1619"/>
      <c r="G39" s="1616">
        <v>1152</v>
      </c>
      <c r="H39" s="1619"/>
      <c r="I39" s="1616">
        <v>1177</v>
      </c>
      <c r="J39" s="1619"/>
      <c r="K39" s="1616">
        <v>1177</v>
      </c>
      <c r="M39" s="1652"/>
    </row>
    <row r="40" spans="1:13" s="1588" customFormat="1" x14ac:dyDescent="0.2">
      <c r="A40" s="1651" t="s">
        <v>2187</v>
      </c>
      <c r="B40" s="1586"/>
      <c r="C40" s="1616">
        <v>473</v>
      </c>
      <c r="D40" s="1648"/>
      <c r="E40" s="1616">
        <v>448</v>
      </c>
      <c r="F40" s="1619"/>
      <c r="G40" s="1616">
        <v>448</v>
      </c>
      <c r="H40" s="1619"/>
      <c r="I40" s="1616">
        <v>460</v>
      </c>
      <c r="J40" s="1619"/>
      <c r="K40" s="1616">
        <v>460</v>
      </c>
      <c r="M40" s="1652"/>
    </row>
    <row r="41" spans="1:13" s="1588" customFormat="1" x14ac:dyDescent="0.2">
      <c r="A41" s="1585" t="s">
        <v>2133</v>
      </c>
      <c r="B41" s="1586"/>
      <c r="C41" s="1656">
        <v>10198818</v>
      </c>
      <c r="D41" s="1619"/>
      <c r="E41" s="1656">
        <v>10007564</v>
      </c>
      <c r="F41" s="1619"/>
      <c r="G41" s="1656">
        <v>10954400</v>
      </c>
      <c r="H41" s="1619"/>
      <c r="I41" s="1656">
        <v>10807000</v>
      </c>
      <c r="J41" s="1619"/>
      <c r="K41" s="1657">
        <v>10807000</v>
      </c>
      <c r="M41" s="1658"/>
    </row>
    <row r="42" spans="1:13" s="1588" customFormat="1" ht="25.5" x14ac:dyDescent="0.2">
      <c r="A42" s="1586" t="s">
        <v>1993</v>
      </c>
      <c r="B42" s="1586"/>
      <c r="C42" s="1616">
        <v>1055</v>
      </c>
      <c r="D42" s="1619"/>
      <c r="E42" s="1613">
        <v>1039</v>
      </c>
      <c r="F42" s="1619"/>
      <c r="G42" s="1613"/>
      <c r="H42" s="1619"/>
      <c r="I42" s="1613">
        <v>1141</v>
      </c>
      <c r="J42" s="1619"/>
      <c r="K42" s="1613"/>
      <c r="M42" s="1652"/>
    </row>
    <row r="43" spans="1:13" s="1588" customFormat="1" x14ac:dyDescent="0.2">
      <c r="A43" s="1585" t="s">
        <v>1994</v>
      </c>
      <c r="B43" s="1586"/>
      <c r="C43" s="1616">
        <v>624</v>
      </c>
      <c r="D43" s="1619"/>
      <c r="E43" s="1613">
        <v>626</v>
      </c>
      <c r="F43" s="1619"/>
      <c r="G43" s="1613"/>
      <c r="H43" s="1619"/>
      <c r="I43" s="1613">
        <v>632</v>
      </c>
      <c r="J43" s="1619"/>
      <c r="K43" s="1613"/>
      <c r="M43" s="1652"/>
    </row>
    <row r="44" spans="1:13" s="1588" customFormat="1" x14ac:dyDescent="0.2">
      <c r="A44" s="1585" t="s">
        <v>1998</v>
      </c>
      <c r="B44" s="1586"/>
      <c r="C44" s="1616">
        <v>602</v>
      </c>
      <c r="D44" s="1619"/>
      <c r="E44" s="1613">
        <v>601</v>
      </c>
      <c r="F44" s="1619"/>
      <c r="G44" s="1613"/>
      <c r="H44" s="1619"/>
      <c r="I44" s="1613">
        <v>629</v>
      </c>
      <c r="J44" s="1619"/>
      <c r="K44" s="1613"/>
      <c r="M44" s="1652"/>
    </row>
    <row r="45" spans="1:13" s="1588" customFormat="1" hidden="1" x14ac:dyDescent="0.2">
      <c r="A45" s="1585" t="s">
        <v>2001</v>
      </c>
      <c r="B45" s="1586"/>
      <c r="C45" s="1616">
        <v>0</v>
      </c>
      <c r="D45" s="1619"/>
      <c r="E45" s="1613">
        <v>0</v>
      </c>
      <c r="F45" s="1619"/>
      <c r="G45" s="1613"/>
      <c r="H45" s="1619"/>
      <c r="I45" s="1613">
        <v>0</v>
      </c>
      <c r="J45" s="1619"/>
      <c r="K45" s="1613"/>
      <c r="M45" s="1652"/>
    </row>
    <row r="46" spans="1:13" s="1588" customFormat="1" x14ac:dyDescent="0.2">
      <c r="A46" s="1585" t="s">
        <v>2003</v>
      </c>
      <c r="B46" s="1586"/>
      <c r="C46" s="1659">
        <v>1830</v>
      </c>
      <c r="D46" s="1619"/>
      <c r="E46" s="1660">
        <f>SUM(E43:E45)</f>
        <v>1227</v>
      </c>
      <c r="F46" s="1619"/>
      <c r="G46" s="1660"/>
      <c r="H46" s="1619"/>
      <c r="I46" s="1660">
        <f>SUM(I43:I45)</f>
        <v>1261</v>
      </c>
      <c r="J46" s="1619"/>
      <c r="K46" s="1660"/>
      <c r="M46" s="1661"/>
    </row>
    <row r="47" spans="1:13" s="1588" customFormat="1" x14ac:dyDescent="0.2">
      <c r="A47" s="1647" t="s">
        <v>2156</v>
      </c>
      <c r="B47" s="1586"/>
      <c r="C47" s="1619"/>
      <c r="D47" s="1619"/>
      <c r="E47" s="1619"/>
      <c r="F47" s="1619"/>
      <c r="G47" s="1619"/>
      <c r="H47" s="1619"/>
      <c r="I47" s="1619"/>
      <c r="J47" s="1619"/>
      <c r="K47" s="1619"/>
      <c r="M47" s="1652"/>
    </row>
    <row r="48" spans="1:13" s="1588" customFormat="1" x14ac:dyDescent="0.2">
      <c r="A48" s="1585" t="s">
        <v>2005</v>
      </c>
      <c r="B48" s="1586"/>
      <c r="C48" s="1662">
        <v>0.93700000000000006</v>
      </c>
      <c r="D48" s="1619"/>
      <c r="E48" s="1662">
        <v>0.93899999999999995</v>
      </c>
      <c r="F48" s="1619"/>
      <c r="G48" s="1662"/>
      <c r="H48" s="1619"/>
      <c r="I48" s="1662"/>
      <c r="J48" s="1619"/>
      <c r="K48" s="1662"/>
      <c r="M48" s="1663"/>
    </row>
    <row r="49" spans="1:16" s="1588" customFormat="1" x14ac:dyDescent="0.2">
      <c r="A49" s="1585" t="s">
        <v>2006</v>
      </c>
      <c r="B49" s="1586"/>
      <c r="C49" s="1662">
        <v>0.85099999999999998</v>
      </c>
      <c r="D49" s="1619"/>
      <c r="E49" s="1662">
        <v>0.85</v>
      </c>
      <c r="F49" s="1619"/>
      <c r="G49" s="1662"/>
      <c r="H49" s="1619"/>
      <c r="I49" s="1662"/>
      <c r="J49" s="1619"/>
      <c r="K49" s="1662"/>
      <c r="M49" s="1663"/>
    </row>
    <row r="50" spans="1:16" s="1588" customFormat="1" x14ac:dyDescent="0.2">
      <c r="A50" s="1647" t="s">
        <v>2007</v>
      </c>
      <c r="B50" s="1586"/>
      <c r="C50" s="1619"/>
      <c r="D50" s="1619"/>
      <c r="E50" s="1619"/>
      <c r="F50" s="1619"/>
      <c r="G50" s="1619"/>
      <c r="H50" s="1619"/>
      <c r="I50" s="1619"/>
      <c r="J50" s="1619"/>
      <c r="K50" s="1619"/>
      <c r="M50" s="1652"/>
    </row>
    <row r="51" spans="1:16" s="1617" customFormat="1" x14ac:dyDescent="0.2">
      <c r="A51" s="1618" t="s">
        <v>2157</v>
      </c>
      <c r="B51" s="1615"/>
      <c r="C51" s="1664">
        <v>32815</v>
      </c>
      <c r="D51" s="1648"/>
      <c r="E51" s="1664">
        <v>33510</v>
      </c>
      <c r="F51" s="1648"/>
      <c r="G51" s="1656"/>
      <c r="H51" s="1648"/>
      <c r="I51" s="1656">
        <v>34388</v>
      </c>
      <c r="J51" s="1648"/>
      <c r="K51" s="1656"/>
      <c r="M51" s="1665"/>
    </row>
    <row r="52" spans="1:16" s="1588" customFormat="1" x14ac:dyDescent="0.2">
      <c r="A52" s="1618" t="s">
        <v>2188</v>
      </c>
      <c r="B52" s="1615"/>
      <c r="C52" s="1664">
        <v>10879</v>
      </c>
      <c r="D52" s="1619"/>
      <c r="E52" s="1664">
        <v>11124</v>
      </c>
      <c r="F52" s="1619"/>
      <c r="G52" s="1664"/>
      <c r="H52" s="1619"/>
      <c r="I52" s="1664">
        <v>12632</v>
      </c>
      <c r="J52" s="1619"/>
      <c r="K52" s="1664"/>
      <c r="M52" s="1658"/>
    </row>
    <row r="53" spans="1:16" s="1588" customFormat="1" x14ac:dyDescent="0.2">
      <c r="A53" s="1618" t="s">
        <v>2189</v>
      </c>
      <c r="B53" s="1615"/>
      <c r="C53" s="1664">
        <v>21812</v>
      </c>
      <c r="D53" s="1619"/>
      <c r="E53" s="1664">
        <v>22301</v>
      </c>
      <c r="F53" s="1619"/>
      <c r="G53" s="1664"/>
      <c r="H53" s="1619"/>
      <c r="I53" s="1664">
        <v>24061</v>
      </c>
      <c r="J53" s="1619"/>
      <c r="K53" s="1664"/>
      <c r="M53" s="1658"/>
    </row>
    <row r="54" spans="1:16" s="1588" customFormat="1" x14ac:dyDescent="0.2">
      <c r="A54" s="1618" t="s">
        <v>2190</v>
      </c>
      <c r="B54" s="1615"/>
      <c r="C54" s="1664">
        <v>4587</v>
      </c>
      <c r="D54" s="1619"/>
      <c r="E54" s="1664">
        <v>4690</v>
      </c>
      <c r="F54" s="1619"/>
      <c r="G54" s="1664"/>
      <c r="H54" s="1619"/>
      <c r="I54" s="1664">
        <v>3537</v>
      </c>
      <c r="J54" s="1619"/>
      <c r="K54" s="1664"/>
      <c r="M54" s="1658"/>
    </row>
    <row r="55" spans="1:16" s="1588" customFormat="1" x14ac:dyDescent="0.2">
      <c r="A55" s="1651"/>
      <c r="B55" s="1586"/>
      <c r="C55" s="1619"/>
      <c r="D55" s="1619"/>
      <c r="E55" s="1619"/>
      <c r="F55" s="1619"/>
      <c r="G55" s="1619"/>
      <c r="H55" s="1619"/>
      <c r="I55" s="1619"/>
      <c r="J55" s="1619"/>
      <c r="K55" s="1619"/>
      <c r="M55" s="1652"/>
    </row>
    <row r="56" spans="1:16" s="1584" customFormat="1" x14ac:dyDescent="0.2">
      <c r="A56" s="1582" t="s">
        <v>517</v>
      </c>
      <c r="B56" s="1583"/>
      <c r="C56" s="1620"/>
      <c r="D56" s="1620"/>
      <c r="E56" s="1620"/>
      <c r="F56" s="1620"/>
      <c r="G56" s="1620"/>
      <c r="H56" s="1620"/>
      <c r="I56" s="1620"/>
      <c r="J56" s="1620"/>
      <c r="K56" s="1620"/>
      <c r="M56" s="1646"/>
    </row>
    <row r="57" spans="1:16" s="1584" customFormat="1" x14ac:dyDescent="0.2">
      <c r="A57" s="1582" t="s">
        <v>1968</v>
      </c>
      <c r="B57" s="1583"/>
      <c r="C57" s="1620"/>
      <c r="D57" s="1620"/>
      <c r="E57" s="1620"/>
      <c r="F57" s="1620"/>
      <c r="G57" s="1620"/>
      <c r="H57" s="1620"/>
      <c r="I57" s="1620"/>
      <c r="J57" s="1620"/>
      <c r="K57" s="1620"/>
      <c r="M57" s="1646"/>
    </row>
    <row r="58" spans="1:16" s="1588" customFormat="1" x14ac:dyDescent="0.2">
      <c r="A58" s="1647" t="s">
        <v>2097</v>
      </c>
      <c r="B58" s="1586"/>
      <c r="C58" s="1619"/>
      <c r="D58" s="1619"/>
      <c r="E58" s="1619"/>
      <c r="F58" s="1619"/>
      <c r="G58" s="1619"/>
      <c r="H58" s="1619"/>
      <c r="I58" s="1619"/>
      <c r="J58" s="1619"/>
      <c r="K58" s="1619"/>
      <c r="M58" s="1652"/>
    </row>
    <row r="59" spans="1:16" s="1588" customFormat="1" x14ac:dyDescent="0.2">
      <c r="A59" s="1585" t="s">
        <v>1298</v>
      </c>
      <c r="B59" s="1586"/>
      <c r="C59" s="1656">
        <v>61384000</v>
      </c>
      <c r="D59" s="1619"/>
      <c r="E59" s="1664">
        <v>64832000</v>
      </c>
      <c r="F59" s="1619"/>
      <c r="G59" s="1664"/>
      <c r="H59" s="1619"/>
      <c r="I59" s="1664">
        <v>74264000</v>
      </c>
      <c r="J59" s="1619"/>
      <c r="K59" s="1664"/>
      <c r="M59" s="1658"/>
      <c r="O59" s="1666"/>
      <c r="P59" s="1667"/>
    </row>
    <row r="60" spans="1:16" s="1588" customFormat="1" x14ac:dyDescent="0.2">
      <c r="A60" s="1585" t="s">
        <v>2020</v>
      </c>
      <c r="B60" s="1586"/>
      <c r="C60" s="1656">
        <v>15664000</v>
      </c>
      <c r="D60" s="1619"/>
      <c r="E60" s="1664">
        <v>17132000</v>
      </c>
      <c r="F60" s="1619"/>
      <c r="G60" s="1664"/>
      <c r="H60" s="1619"/>
      <c r="I60" s="1664">
        <v>20657000</v>
      </c>
      <c r="J60" s="1619"/>
      <c r="K60" s="1664"/>
      <c r="M60" s="1658"/>
      <c r="O60" s="1666"/>
      <c r="P60" s="1667"/>
    </row>
    <row r="61" spans="1:16" s="1588" customFormat="1" x14ac:dyDescent="0.2">
      <c r="A61" s="1585" t="s">
        <v>2021</v>
      </c>
      <c r="B61" s="1586"/>
      <c r="C61" s="1656">
        <v>19310000</v>
      </c>
      <c r="D61" s="1619"/>
      <c r="E61" s="1664">
        <v>20508000</v>
      </c>
      <c r="F61" s="1619"/>
      <c r="G61" s="1664"/>
      <c r="H61" s="1619"/>
      <c r="I61" s="1664">
        <v>22584000</v>
      </c>
      <c r="J61" s="1619"/>
      <c r="K61" s="1664"/>
      <c r="M61" s="1658"/>
      <c r="O61" s="1666"/>
      <c r="P61" s="1667"/>
    </row>
    <row r="62" spans="1:16" s="1588" customFormat="1" x14ac:dyDescent="0.2">
      <c r="A62" s="1585" t="s">
        <v>2022</v>
      </c>
      <c r="B62" s="1586"/>
      <c r="C62" s="1656">
        <v>17909000</v>
      </c>
      <c r="D62" s="1619"/>
      <c r="E62" s="1664">
        <v>18463000</v>
      </c>
      <c r="F62" s="1619"/>
      <c r="G62" s="1664"/>
      <c r="H62" s="1619"/>
      <c r="I62" s="1664">
        <v>19080000</v>
      </c>
      <c r="J62" s="1619"/>
      <c r="K62" s="1664"/>
      <c r="M62" s="1658"/>
      <c r="O62" s="1666"/>
      <c r="P62" s="1667"/>
    </row>
    <row r="63" spans="1:16" s="1588" customFormat="1" x14ac:dyDescent="0.2">
      <c r="A63" s="1585" t="s">
        <v>2023</v>
      </c>
      <c r="B63" s="1586"/>
      <c r="C63" s="1656">
        <v>20395000</v>
      </c>
      <c r="D63" s="1619"/>
      <c r="E63" s="1664">
        <v>25843000</v>
      </c>
      <c r="F63" s="1619"/>
      <c r="G63" s="1664"/>
      <c r="H63" s="1619"/>
      <c r="I63" s="1664">
        <v>26064000</v>
      </c>
      <c r="J63" s="1619"/>
      <c r="K63" s="1664"/>
      <c r="M63" s="1658"/>
      <c r="O63" s="1666"/>
      <c r="P63" s="1667"/>
    </row>
    <row r="64" spans="1:16" s="1588" customFormat="1" x14ac:dyDescent="0.2">
      <c r="A64" s="1585"/>
      <c r="B64" s="1586"/>
      <c r="C64" s="1619"/>
      <c r="D64" s="1619"/>
      <c r="E64" s="1619"/>
      <c r="F64" s="1619"/>
      <c r="G64" s="1619"/>
      <c r="H64" s="1619"/>
      <c r="I64" s="1619"/>
      <c r="J64" s="1619"/>
      <c r="K64" s="1619"/>
      <c r="M64" s="1668"/>
    </row>
    <row r="65" spans="1:14" s="1584" customFormat="1" x14ac:dyDescent="0.2">
      <c r="A65" s="1582" t="s">
        <v>194</v>
      </c>
      <c r="B65" s="1583"/>
      <c r="C65" s="1620"/>
      <c r="D65" s="1620"/>
      <c r="E65" s="1620"/>
      <c r="F65" s="1620"/>
      <c r="G65" s="1620"/>
      <c r="H65" s="1620"/>
      <c r="I65" s="1620"/>
      <c r="J65" s="1620"/>
      <c r="K65" s="1620"/>
      <c r="M65" s="1646"/>
    </row>
    <row r="66" spans="1:14" s="1584" customFormat="1" x14ac:dyDescent="0.2">
      <c r="A66" s="1582" t="s">
        <v>195</v>
      </c>
      <c r="B66" s="1583"/>
      <c r="C66" s="1620"/>
      <c r="D66" s="1620"/>
      <c r="E66" s="1620"/>
      <c r="F66" s="1620"/>
      <c r="G66" s="1620"/>
      <c r="H66" s="1620"/>
      <c r="I66" s="1620"/>
      <c r="J66" s="1620"/>
      <c r="K66" s="1620"/>
      <c r="M66" s="1646"/>
    </row>
    <row r="67" spans="1:14" s="1617" customFormat="1" x14ac:dyDescent="0.2">
      <c r="A67" s="1618" t="s">
        <v>2030</v>
      </c>
      <c r="B67" s="1615"/>
      <c r="C67" s="1616">
        <v>859</v>
      </c>
      <c r="D67" s="1616"/>
      <c r="E67" s="1616">
        <v>859</v>
      </c>
      <c r="F67" s="1648"/>
      <c r="G67" s="1616">
        <v>859</v>
      </c>
      <c r="H67" s="1648"/>
      <c r="I67" s="1616">
        <v>859</v>
      </c>
      <c r="J67" s="1648"/>
      <c r="K67" s="1616">
        <v>859</v>
      </c>
      <c r="M67" s="1668"/>
    </row>
    <row r="68" spans="1:14" s="1584" customFormat="1" x14ac:dyDescent="0.2">
      <c r="A68" s="1582"/>
      <c r="B68" s="1583"/>
      <c r="M68" s="1646"/>
    </row>
    <row r="69" spans="1:14" s="1591" customFormat="1" x14ac:dyDescent="0.2">
      <c r="A69" s="1589"/>
      <c r="B69" s="1590"/>
      <c r="M69" s="1669"/>
    </row>
    <row r="70" spans="1:14" s="1591" customFormat="1" x14ac:dyDescent="0.2">
      <c r="A70" s="1592" t="s">
        <v>200</v>
      </c>
      <c r="B70" s="1593"/>
      <c r="C70" s="1670"/>
      <c r="D70" s="1595"/>
      <c r="E70" s="1596"/>
      <c r="F70" s="1595"/>
      <c r="G70" s="1596"/>
      <c r="H70" s="1595"/>
      <c r="I70" s="1596"/>
      <c r="J70" s="1595"/>
      <c r="K70" s="1596"/>
      <c r="L70" s="1595"/>
      <c r="M70" s="1594"/>
      <c r="N70" s="1595"/>
    </row>
    <row r="71" spans="1:14" s="1671" customFormat="1" ht="24.95" customHeight="1" x14ac:dyDescent="0.25">
      <c r="A71" s="1828" t="s">
        <v>2191</v>
      </c>
      <c r="B71" s="1829"/>
      <c r="C71" s="1830"/>
      <c r="D71" s="1829"/>
      <c r="E71" s="1830"/>
      <c r="F71" s="1829"/>
      <c r="G71" s="1830"/>
      <c r="H71" s="1829"/>
      <c r="I71" s="1830"/>
      <c r="J71" s="1829"/>
      <c r="K71" s="1830"/>
      <c r="L71" s="1829"/>
      <c r="M71" s="1830"/>
      <c r="N71" s="1829"/>
    </row>
    <row r="72" spans="1:14" s="1671" customFormat="1" ht="12.75" customHeight="1" x14ac:dyDescent="0.25">
      <c r="A72" s="1828" t="s">
        <v>2163</v>
      </c>
      <c r="B72" s="1829"/>
      <c r="C72" s="1830"/>
      <c r="D72" s="1829"/>
      <c r="E72" s="1830"/>
      <c r="F72" s="1829"/>
      <c r="G72" s="1830"/>
      <c r="H72" s="1829"/>
      <c r="I72" s="1830"/>
      <c r="J72" s="1829"/>
      <c r="K72" s="1830"/>
      <c r="L72" s="1829"/>
      <c r="M72" s="1830"/>
      <c r="N72" s="1829"/>
    </row>
    <row r="73" spans="1:14" s="1671" customFormat="1" ht="12" x14ac:dyDescent="0.25">
      <c r="A73" s="1828" t="s">
        <v>2164</v>
      </c>
      <c r="B73" s="1829"/>
      <c r="C73" s="1830"/>
      <c r="D73" s="1829"/>
      <c r="E73" s="1830"/>
      <c r="F73" s="1829"/>
      <c r="G73" s="1830"/>
      <c r="H73" s="1829"/>
      <c r="I73" s="1830"/>
      <c r="J73" s="1829"/>
      <c r="K73" s="1830"/>
      <c r="L73" s="1829"/>
      <c r="M73" s="1830"/>
      <c r="N73" s="1829"/>
    </row>
    <row r="74" spans="1:14" s="1671" customFormat="1" ht="12" x14ac:dyDescent="0.25">
      <c r="A74" s="1828" t="s">
        <v>2165</v>
      </c>
      <c r="B74" s="1828"/>
      <c r="C74" s="1828"/>
      <c r="D74" s="1828"/>
      <c r="E74" s="1828"/>
      <c r="F74" s="1828"/>
      <c r="G74" s="1828"/>
      <c r="H74" s="1828"/>
      <c r="I74" s="1828"/>
      <c r="J74" s="1828"/>
      <c r="K74" s="1828"/>
      <c r="L74" s="1828"/>
      <c r="M74" s="1288"/>
      <c r="N74" s="1289"/>
    </row>
    <row r="75" spans="1:14" ht="24.75" customHeight="1" x14ac:dyDescent="0.2">
      <c r="A75" s="1828" t="s">
        <v>2192</v>
      </c>
      <c r="B75" s="1828"/>
      <c r="C75" s="1828"/>
      <c r="D75" s="1828"/>
      <c r="E75" s="1828"/>
      <c r="F75" s="1828"/>
      <c r="G75" s="1828"/>
      <c r="H75" s="1828"/>
      <c r="I75" s="1828"/>
      <c r="J75" s="1828"/>
      <c r="K75" s="1828"/>
      <c r="L75" s="1828"/>
      <c r="M75" s="1828"/>
      <c r="N75" s="1828"/>
    </row>
  </sheetData>
  <mergeCells count="7">
    <mergeCell ref="A75:L75"/>
    <mergeCell ref="M75:N75"/>
    <mergeCell ref="K2:K3"/>
    <mergeCell ref="A71:N71"/>
    <mergeCell ref="A72:N72"/>
    <mergeCell ref="A73:N73"/>
    <mergeCell ref="A74:L74"/>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rintOptions horizontalCentered="1"/>
  <pageMargins left="0" right="0" top="0.25" bottom="0" header="0.5" footer="0.5"/>
  <pageSetup scale="72" firstPageNumber="15" pageOrder="overThenDown" orientation="portrait" blackAndWhite="1" useFirstPageNumber="1" r:id="rId1"/>
  <headerFooter alignWithMargins="0"/>
  <rowBreaks count="1" manualBreakCount="1">
    <brk id="54"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4"/>
  <dimension ref="A1:Q130"/>
  <sheetViews>
    <sheetView showGridLines="0" zoomScaleNormal="100" workbookViewId="0">
      <pane xSplit="2" ySplit="9" topLeftCell="C10" activePane="bottomRight" state="frozen"/>
      <selection pane="topRight" activeCell="C1" sqref="C1"/>
      <selection pane="bottomLeft" activeCell="A10" sqref="A10"/>
      <selection pane="bottomRight" activeCell="C2" sqref="C2:C3"/>
    </sheetView>
  </sheetViews>
  <sheetFormatPr defaultRowHeight="12.75" x14ac:dyDescent="0.2"/>
  <cols>
    <col min="1" max="1" width="48" style="25" customWidth="1"/>
    <col min="2" max="2" width="9.42578125" style="26" customWidth="1"/>
    <col min="3" max="3" width="14.42578125" style="61" customWidth="1"/>
    <col min="4" max="4" width="3" style="61" customWidth="1"/>
    <col min="5" max="5" width="13.7109375" style="59" customWidth="1"/>
    <col min="6" max="6" width="2.85546875" style="60" customWidth="1"/>
    <col min="7" max="7" width="13.7109375" style="59" hidden="1" customWidth="1"/>
    <col min="8" max="8" width="0.140625" style="60" customWidth="1"/>
    <col min="9" max="9" width="13.7109375" style="59" customWidth="1"/>
    <col min="10" max="10" width="3.140625" style="60" customWidth="1"/>
    <col min="11" max="11" width="10.140625" style="59" bestFit="1" customWidth="1"/>
    <col min="12" max="12" width="3.140625" style="60" customWidth="1"/>
    <col min="13" max="13" width="8.7109375" style="59" hidden="1" customWidth="1"/>
    <col min="14" max="14" width="3.140625" style="60" hidden="1" customWidth="1"/>
    <col min="15" max="15" width="13.7109375" style="59" customWidth="1"/>
    <col min="16" max="16" width="2.85546875" style="60" customWidth="1"/>
    <col min="17" max="17" width="3.42578125" style="29" customWidth="1"/>
    <col min="18" max="18" width="9.140625" style="29"/>
    <col min="19" max="19" width="10.7109375" style="29" bestFit="1" customWidth="1"/>
    <col min="20"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1897</v>
      </c>
      <c r="C4" s="10" t="s">
        <v>46</v>
      </c>
      <c r="D4" s="6"/>
      <c r="E4" s="11"/>
      <c r="F4" s="9"/>
      <c r="G4" s="11"/>
      <c r="H4" s="6"/>
      <c r="I4" s="11"/>
      <c r="J4" s="6"/>
      <c r="K4" s="11"/>
      <c r="L4" s="6"/>
      <c r="M4" s="11"/>
      <c r="N4" s="6"/>
    </row>
    <row r="5" spans="1:16" s="4" customFormat="1" ht="15.75" x14ac:dyDescent="0.2">
      <c r="A5" s="1" t="s">
        <v>183</v>
      </c>
      <c r="B5" s="12" t="s">
        <v>2193</v>
      </c>
      <c r="C5" s="12" t="s">
        <v>60</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G10" s="87"/>
      <c r="I10" s="87"/>
    </row>
    <row r="11" spans="1:16" s="37" customFormat="1" x14ac:dyDescent="0.2">
      <c r="A11" s="35" t="s">
        <v>1968</v>
      </c>
      <c r="B11" s="36"/>
      <c r="C11" s="87"/>
      <c r="D11" s="87"/>
      <c r="G11" s="87"/>
      <c r="I11" s="87"/>
      <c r="M11" s="108"/>
    </row>
    <row r="12" spans="1:16" s="40" customFormat="1" x14ac:dyDescent="0.2">
      <c r="A12" s="38" t="s">
        <v>1969</v>
      </c>
      <c r="B12" s="39"/>
      <c r="C12" s="112">
        <v>6566</v>
      </c>
      <c r="D12" s="112"/>
      <c r="E12" s="112">
        <v>6678</v>
      </c>
      <c r="G12" s="76">
        <v>5914</v>
      </c>
      <c r="I12" s="76">
        <v>5939</v>
      </c>
      <c r="K12" s="76">
        <v>5967</v>
      </c>
      <c r="M12" s="1256"/>
    </row>
    <row r="13" spans="1:16" s="40" customFormat="1" x14ac:dyDescent="0.2">
      <c r="A13" s="38" t="s">
        <v>1970</v>
      </c>
      <c r="B13" s="39"/>
      <c r="C13" s="112">
        <v>5215</v>
      </c>
      <c r="D13" s="112"/>
      <c r="E13" s="112">
        <v>5310</v>
      </c>
      <c r="G13" s="76">
        <v>5307</v>
      </c>
      <c r="I13" s="76">
        <v>5312</v>
      </c>
      <c r="K13" s="76">
        <v>5348</v>
      </c>
      <c r="M13" s="1137"/>
    </row>
    <row r="14" spans="1:16" s="40" customFormat="1" x14ac:dyDescent="0.2">
      <c r="A14" s="41" t="s">
        <v>1971</v>
      </c>
      <c r="B14" s="39"/>
      <c r="C14" s="112">
        <v>6121</v>
      </c>
      <c r="D14" s="112"/>
      <c r="E14" s="112">
        <v>6160</v>
      </c>
      <c r="G14" s="76">
        <v>5497</v>
      </c>
      <c r="I14" s="76">
        <v>5464</v>
      </c>
      <c r="K14" s="76">
        <v>5487</v>
      </c>
      <c r="M14" s="1137"/>
    </row>
    <row r="15" spans="1:16" s="40" customFormat="1" x14ac:dyDescent="0.2">
      <c r="A15" s="41" t="s">
        <v>1972</v>
      </c>
      <c r="B15" s="39"/>
      <c r="C15" s="112">
        <v>5001</v>
      </c>
      <c r="D15" s="112"/>
      <c r="E15" s="112">
        <v>5025</v>
      </c>
      <c r="G15" s="76">
        <v>5026</v>
      </c>
      <c r="I15" s="76">
        <v>5018</v>
      </c>
      <c r="K15" s="76">
        <v>5034</v>
      </c>
      <c r="M15" s="1137"/>
    </row>
    <row r="16" spans="1:16" s="40" customFormat="1" x14ac:dyDescent="0.2">
      <c r="A16" s="90" t="s">
        <v>1973</v>
      </c>
      <c r="B16" s="39"/>
      <c r="C16" s="112">
        <v>5352</v>
      </c>
      <c r="D16" s="111"/>
      <c r="E16" s="112">
        <v>5106</v>
      </c>
      <c r="G16" s="76">
        <v>4782</v>
      </c>
      <c r="I16" s="76">
        <v>4535</v>
      </c>
      <c r="K16" s="76">
        <v>4554</v>
      </c>
      <c r="M16" s="76"/>
    </row>
    <row r="17" spans="1:13" s="40" customFormat="1" x14ac:dyDescent="0.2">
      <c r="A17" s="90" t="s">
        <v>1974</v>
      </c>
      <c r="B17" s="39"/>
      <c r="C17" s="112">
        <v>4648</v>
      </c>
      <c r="D17" s="111"/>
      <c r="E17" s="112">
        <v>4660</v>
      </c>
      <c r="G17" s="76">
        <v>4674</v>
      </c>
      <c r="I17" s="76">
        <v>4667</v>
      </c>
      <c r="K17" s="76">
        <v>4682</v>
      </c>
      <c r="M17" s="76"/>
    </row>
    <row r="18" spans="1:13" s="40" customFormat="1" x14ac:dyDescent="0.2">
      <c r="A18" s="90" t="s">
        <v>1975</v>
      </c>
      <c r="B18" s="39"/>
      <c r="C18" s="112">
        <v>769</v>
      </c>
      <c r="D18" s="111"/>
      <c r="E18" s="112">
        <v>1054</v>
      </c>
      <c r="G18" s="76">
        <v>715</v>
      </c>
      <c r="I18" s="76">
        <v>929</v>
      </c>
      <c r="K18" s="76">
        <v>933</v>
      </c>
      <c r="M18" s="76"/>
    </row>
    <row r="19" spans="1:13" s="40" customFormat="1" x14ac:dyDescent="0.2">
      <c r="A19" s="90" t="s">
        <v>1976</v>
      </c>
      <c r="B19" s="39"/>
      <c r="C19" s="112">
        <v>353</v>
      </c>
      <c r="D19" s="111"/>
      <c r="E19" s="112">
        <v>365</v>
      </c>
      <c r="G19" s="76">
        <v>352</v>
      </c>
      <c r="I19" s="76">
        <v>351</v>
      </c>
      <c r="K19" s="76">
        <v>352</v>
      </c>
      <c r="M19" s="76"/>
    </row>
    <row r="20" spans="1:13" s="40" customFormat="1" x14ac:dyDescent="0.2">
      <c r="A20" s="41" t="s">
        <v>1977</v>
      </c>
      <c r="B20" s="39"/>
      <c r="C20" s="112">
        <v>445</v>
      </c>
      <c r="D20" s="112"/>
      <c r="E20" s="112">
        <v>518</v>
      </c>
      <c r="G20" s="76">
        <v>417</v>
      </c>
      <c r="I20" s="76">
        <v>475</v>
      </c>
      <c r="K20" s="76">
        <v>480</v>
      </c>
      <c r="M20" s="1256"/>
    </row>
    <row r="21" spans="1:13" s="40" customFormat="1" x14ac:dyDescent="0.2">
      <c r="A21" s="41" t="s">
        <v>1978</v>
      </c>
      <c r="B21" s="39"/>
      <c r="C21" s="112">
        <v>214</v>
      </c>
      <c r="D21" s="112"/>
      <c r="E21" s="112">
        <v>285</v>
      </c>
      <c r="G21" s="76">
        <v>281</v>
      </c>
      <c r="I21" s="76">
        <v>294</v>
      </c>
      <c r="K21" s="76">
        <v>314</v>
      </c>
      <c r="M21" s="1256"/>
    </row>
    <row r="22" spans="1:13" s="40" customFormat="1" x14ac:dyDescent="0.2">
      <c r="A22" s="90" t="s">
        <v>1973</v>
      </c>
      <c r="B22" s="39"/>
      <c r="C22" s="112">
        <v>55</v>
      </c>
      <c r="D22" s="111"/>
      <c r="E22" s="112">
        <v>104</v>
      </c>
      <c r="G22" s="76">
        <v>111</v>
      </c>
      <c r="I22" s="76">
        <v>117</v>
      </c>
      <c r="K22" s="76">
        <v>119</v>
      </c>
      <c r="M22" s="76"/>
    </row>
    <row r="23" spans="1:13" s="40" customFormat="1" x14ac:dyDescent="0.2">
      <c r="A23" s="90" t="s">
        <v>1974</v>
      </c>
      <c r="B23" s="39"/>
      <c r="C23" s="112">
        <v>40</v>
      </c>
      <c r="D23" s="111"/>
      <c r="E23" s="112">
        <v>110</v>
      </c>
      <c r="G23" s="76">
        <v>124</v>
      </c>
      <c r="I23" s="76">
        <v>125</v>
      </c>
      <c r="K23" s="76">
        <v>136</v>
      </c>
      <c r="M23" s="76"/>
    </row>
    <row r="24" spans="1:13" s="40" customFormat="1" x14ac:dyDescent="0.2">
      <c r="A24" s="90" t="s">
        <v>1975</v>
      </c>
      <c r="B24" s="39"/>
      <c r="C24" s="112">
        <v>390</v>
      </c>
      <c r="D24" s="111"/>
      <c r="E24" s="112">
        <v>414</v>
      </c>
      <c r="G24" s="76">
        <v>306</v>
      </c>
      <c r="I24" s="76">
        <v>358</v>
      </c>
      <c r="K24" s="76">
        <v>361</v>
      </c>
      <c r="M24" s="76"/>
    </row>
    <row r="25" spans="1:13" s="40" customFormat="1" x14ac:dyDescent="0.2">
      <c r="A25" s="90" t="s">
        <v>1976</v>
      </c>
      <c r="B25" s="39"/>
      <c r="C25" s="112">
        <v>174</v>
      </c>
      <c r="D25" s="111"/>
      <c r="E25" s="112">
        <v>175</v>
      </c>
      <c r="G25" s="76">
        <v>157</v>
      </c>
      <c r="I25" s="76">
        <v>169</v>
      </c>
      <c r="K25" s="76">
        <v>178</v>
      </c>
      <c r="M25" s="76"/>
    </row>
    <row r="26" spans="1:13" s="40" customFormat="1" x14ac:dyDescent="0.2">
      <c r="A26" s="38" t="s">
        <v>1982</v>
      </c>
      <c r="B26" s="39"/>
      <c r="C26" s="112">
        <v>815</v>
      </c>
      <c r="D26" s="111"/>
      <c r="E26" s="112">
        <v>819</v>
      </c>
      <c r="G26" s="76">
        <v>815</v>
      </c>
      <c r="I26" s="76">
        <v>819</v>
      </c>
      <c r="K26" s="76">
        <v>819</v>
      </c>
      <c r="M26" s="76"/>
    </row>
    <row r="27" spans="1:13" s="40" customFormat="1" x14ac:dyDescent="0.2">
      <c r="A27" s="38" t="s">
        <v>1983</v>
      </c>
      <c r="B27" s="39"/>
      <c r="C27" s="1249"/>
      <c r="D27" s="111"/>
      <c r="E27" s="118"/>
      <c r="G27" s="63"/>
      <c r="I27" s="63"/>
      <c r="K27" s="63"/>
      <c r="M27" s="64"/>
    </row>
    <row r="28" spans="1:13" s="40" customFormat="1" x14ac:dyDescent="0.2">
      <c r="A28" s="41" t="s">
        <v>1984</v>
      </c>
      <c r="B28" s="39"/>
      <c r="C28" s="112">
        <v>1288</v>
      </c>
      <c r="D28" s="111"/>
      <c r="E28" s="112">
        <v>1393</v>
      </c>
      <c r="G28" s="76">
        <v>1288</v>
      </c>
      <c r="I28" s="76">
        <v>1393</v>
      </c>
      <c r="K28" s="76">
        <v>1393</v>
      </c>
      <c r="M28" s="333"/>
    </row>
    <row r="29" spans="1:13" s="40" customFormat="1" x14ac:dyDescent="0.2">
      <c r="A29" s="41" t="s">
        <v>1985</v>
      </c>
      <c r="B29" s="39"/>
      <c r="C29" s="112">
        <v>135</v>
      </c>
      <c r="D29" s="111"/>
      <c r="E29" s="112">
        <v>198</v>
      </c>
      <c r="G29" s="76">
        <v>135</v>
      </c>
      <c r="I29" s="76">
        <v>198</v>
      </c>
      <c r="K29" s="76">
        <v>198</v>
      </c>
      <c r="M29" s="333"/>
    </row>
    <row r="30" spans="1:13" s="40" customFormat="1" x14ac:dyDescent="0.2">
      <c r="A30" s="38" t="s">
        <v>2175</v>
      </c>
      <c r="B30" s="39"/>
      <c r="C30" s="1181" t="s">
        <v>2093</v>
      </c>
      <c r="D30" s="111"/>
      <c r="E30" s="1181" t="s">
        <v>1992</v>
      </c>
      <c r="G30" s="1077" t="s">
        <v>1992</v>
      </c>
      <c r="I30" s="1077" t="s">
        <v>1992</v>
      </c>
      <c r="K30" s="1077" t="s">
        <v>1992</v>
      </c>
      <c r="M30" s="1186"/>
    </row>
    <row r="31" spans="1:13" s="40" customFormat="1" x14ac:dyDescent="0.2">
      <c r="A31" s="38" t="s">
        <v>2019</v>
      </c>
      <c r="B31" s="39"/>
      <c r="C31" s="111"/>
      <c r="D31" s="111"/>
      <c r="E31" s="118"/>
      <c r="G31" s="63"/>
      <c r="I31" s="63"/>
      <c r="K31" s="63"/>
    </row>
    <row r="32" spans="1:13" s="40" customFormat="1" x14ac:dyDescent="0.2">
      <c r="A32" s="41" t="s">
        <v>2084</v>
      </c>
      <c r="B32" s="39"/>
      <c r="C32" s="112">
        <v>2204</v>
      </c>
      <c r="D32" s="111"/>
      <c r="E32" s="112">
        <v>2291</v>
      </c>
      <c r="G32" s="76">
        <v>2324</v>
      </c>
      <c r="I32" s="76">
        <v>2324</v>
      </c>
      <c r="K32" s="76">
        <v>2411</v>
      </c>
      <c r="M32" s="1256"/>
    </row>
    <row r="33" spans="1:13" s="40" customFormat="1" x14ac:dyDescent="0.2">
      <c r="A33" s="41" t="s">
        <v>2128</v>
      </c>
      <c r="B33" s="39"/>
      <c r="C33" s="112">
        <v>392</v>
      </c>
      <c r="D33" s="111"/>
      <c r="E33" s="1137">
        <v>420</v>
      </c>
      <c r="F33" s="404"/>
      <c r="G33" s="393">
        <v>421</v>
      </c>
      <c r="H33" s="404"/>
      <c r="I33" s="393">
        <v>427</v>
      </c>
      <c r="K33" s="76">
        <v>446</v>
      </c>
      <c r="M33" s="1256"/>
    </row>
    <row r="34" spans="1:13" s="40" customFormat="1" x14ac:dyDescent="0.2">
      <c r="A34" s="90" t="s">
        <v>2129</v>
      </c>
      <c r="B34" s="39"/>
      <c r="C34" s="112">
        <v>676</v>
      </c>
      <c r="D34" s="111"/>
      <c r="E34" s="1137">
        <v>589</v>
      </c>
      <c r="F34" s="404"/>
      <c r="G34" s="393">
        <v>560</v>
      </c>
      <c r="H34" s="404"/>
      <c r="I34" s="393">
        <v>542</v>
      </c>
      <c r="K34" s="76">
        <v>515</v>
      </c>
      <c r="M34" s="76"/>
    </row>
    <row r="35" spans="1:13" s="40" customFormat="1" x14ac:dyDescent="0.2">
      <c r="A35" s="90" t="s">
        <v>2130</v>
      </c>
      <c r="B35" s="39"/>
      <c r="C35" s="112">
        <v>121</v>
      </c>
      <c r="D35" s="111"/>
      <c r="E35" s="1137">
        <v>112</v>
      </c>
      <c r="F35" s="404"/>
      <c r="G35" s="393">
        <v>107</v>
      </c>
      <c r="H35" s="404"/>
      <c r="I35" s="393">
        <v>96</v>
      </c>
      <c r="K35" s="76">
        <v>91</v>
      </c>
      <c r="M35" s="76"/>
    </row>
    <row r="36" spans="1:13" s="40" customFormat="1" x14ac:dyDescent="0.2">
      <c r="A36" s="90" t="s">
        <v>2131</v>
      </c>
      <c r="B36" s="39"/>
      <c r="C36" s="112">
        <v>179</v>
      </c>
      <c r="D36" s="111"/>
      <c r="E36" s="1137">
        <v>188</v>
      </c>
      <c r="F36" s="404"/>
      <c r="G36" s="393">
        <v>200</v>
      </c>
      <c r="H36" s="404"/>
      <c r="I36" s="393">
        <v>201</v>
      </c>
      <c r="K36" s="76">
        <v>236</v>
      </c>
      <c r="M36" s="76"/>
    </row>
    <row r="37" spans="1:13" s="40" customFormat="1" x14ac:dyDescent="0.2">
      <c r="A37" s="90" t="s">
        <v>2132</v>
      </c>
      <c r="B37" s="39"/>
      <c r="C37" s="112">
        <v>46</v>
      </c>
      <c r="D37" s="111"/>
      <c r="E37" s="1137">
        <v>55</v>
      </c>
      <c r="F37" s="404"/>
      <c r="G37" s="393">
        <v>52</v>
      </c>
      <c r="H37" s="404"/>
      <c r="I37" s="393">
        <v>55</v>
      </c>
      <c r="K37" s="76">
        <v>55</v>
      </c>
      <c r="M37" s="76"/>
    </row>
    <row r="38" spans="1:13" s="40" customFormat="1" x14ac:dyDescent="0.2">
      <c r="A38" s="90" t="s">
        <v>2186</v>
      </c>
      <c r="B38" s="39"/>
      <c r="C38" s="112">
        <v>1349</v>
      </c>
      <c r="D38" s="111"/>
      <c r="E38" s="1137">
        <v>1514</v>
      </c>
      <c r="F38" s="404"/>
      <c r="G38" s="393">
        <v>1564</v>
      </c>
      <c r="H38" s="404"/>
      <c r="I38" s="393">
        <v>1581</v>
      </c>
      <c r="K38" s="76">
        <v>1660</v>
      </c>
      <c r="M38" s="76"/>
    </row>
    <row r="39" spans="1:13" s="40" customFormat="1" x14ac:dyDescent="0.2">
      <c r="A39" s="90" t="s">
        <v>2187</v>
      </c>
      <c r="B39" s="39"/>
      <c r="C39" s="1181" t="s">
        <v>2194</v>
      </c>
      <c r="D39" s="111"/>
      <c r="E39" s="1290" t="s">
        <v>2195</v>
      </c>
      <c r="F39" s="404"/>
      <c r="G39" s="1186" t="s">
        <v>2196</v>
      </c>
      <c r="H39" s="404"/>
      <c r="I39" s="1186" t="s">
        <v>2197</v>
      </c>
      <c r="K39" s="1077" t="s">
        <v>2198</v>
      </c>
      <c r="M39" s="1077"/>
    </row>
    <row r="40" spans="1:13" s="40" customFormat="1" x14ac:dyDescent="0.2">
      <c r="A40" s="41" t="s">
        <v>2133</v>
      </c>
      <c r="B40" s="39"/>
      <c r="C40" s="1291">
        <v>4686000</v>
      </c>
      <c r="D40" s="63"/>
      <c r="E40" s="1292">
        <v>5351663</v>
      </c>
      <c r="F40" s="404"/>
      <c r="G40" s="631">
        <v>5131000</v>
      </c>
      <c r="H40" s="404"/>
      <c r="I40" s="631">
        <v>5457789</v>
      </c>
      <c r="K40" s="97">
        <v>5625171</v>
      </c>
      <c r="M40" s="97"/>
    </row>
    <row r="41" spans="1:13" s="40" customFormat="1" ht="25.5" x14ac:dyDescent="0.2">
      <c r="A41" s="39" t="s">
        <v>1993</v>
      </c>
      <c r="B41" s="39"/>
      <c r="C41" s="1077" t="s">
        <v>2199</v>
      </c>
      <c r="D41" s="1262"/>
      <c r="E41" s="1186" t="s">
        <v>2200</v>
      </c>
      <c r="F41" s="404"/>
      <c r="G41" s="1186"/>
      <c r="H41" s="404"/>
      <c r="I41" s="1186" t="s">
        <v>3068</v>
      </c>
      <c r="K41" s="1078"/>
      <c r="M41" s="1078"/>
    </row>
    <row r="42" spans="1:13" s="40" customFormat="1" x14ac:dyDescent="0.2">
      <c r="A42" s="41" t="s">
        <v>2201</v>
      </c>
      <c r="B42" s="39"/>
      <c r="C42" s="71">
        <v>576</v>
      </c>
      <c r="D42" s="1262"/>
      <c r="E42" s="1293">
        <v>554</v>
      </c>
      <c r="F42" s="404"/>
      <c r="G42" s="1293"/>
      <c r="H42" s="404"/>
      <c r="I42" s="1293">
        <v>588</v>
      </c>
      <c r="K42" s="70"/>
      <c r="M42" s="70"/>
    </row>
    <row r="43" spans="1:13" s="40" customFormat="1" x14ac:dyDescent="0.2">
      <c r="A43" s="41" t="s">
        <v>2155</v>
      </c>
      <c r="B43" s="39"/>
      <c r="C43" s="71">
        <v>563</v>
      </c>
      <c r="D43" s="1262"/>
      <c r="E43" s="1293">
        <v>542</v>
      </c>
      <c r="F43" s="404"/>
      <c r="G43" s="1293"/>
      <c r="H43" s="404"/>
      <c r="I43" s="1293">
        <v>594</v>
      </c>
      <c r="K43" s="70"/>
      <c r="M43" s="70"/>
    </row>
    <row r="44" spans="1:13" s="40" customFormat="1" x14ac:dyDescent="0.2">
      <c r="A44" s="41" t="s">
        <v>2094</v>
      </c>
      <c r="B44" s="39"/>
      <c r="C44" s="71">
        <f>SUM(C42:C43)</f>
        <v>1139</v>
      </c>
      <c r="D44" s="63"/>
      <c r="E44" s="1293">
        <f>SUM(E42:E43)</f>
        <v>1096</v>
      </c>
      <c r="F44" s="1293"/>
      <c r="G44" s="1293">
        <f t="shared" ref="G44:I44" si="0">SUM(G42:G43)</f>
        <v>0</v>
      </c>
      <c r="H44" s="1293">
        <f t="shared" si="0"/>
        <v>0</v>
      </c>
      <c r="I44" s="1293">
        <f t="shared" si="0"/>
        <v>1182</v>
      </c>
      <c r="K44" s="70"/>
      <c r="M44" s="70"/>
    </row>
    <row r="45" spans="1:13" s="40" customFormat="1" x14ac:dyDescent="0.2">
      <c r="A45" s="38" t="s">
        <v>2156</v>
      </c>
      <c r="B45" s="39"/>
      <c r="C45" s="63"/>
      <c r="D45" s="63"/>
      <c r="G45" s="63"/>
      <c r="I45" s="63"/>
    </row>
    <row r="46" spans="1:13" s="40" customFormat="1" x14ac:dyDescent="0.2">
      <c r="A46" s="41" t="s">
        <v>2005</v>
      </c>
      <c r="B46" s="39"/>
      <c r="C46" s="100">
        <v>0.86099999999999999</v>
      </c>
      <c r="D46" s="63"/>
      <c r="E46" s="100">
        <v>0.85899999999999999</v>
      </c>
      <c r="G46" s="100"/>
      <c r="I46" s="100"/>
      <c r="K46" s="101"/>
      <c r="M46" s="101"/>
    </row>
    <row r="47" spans="1:13" s="40" customFormat="1" x14ac:dyDescent="0.2">
      <c r="A47" s="41" t="s">
        <v>2006</v>
      </c>
      <c r="B47" s="39"/>
      <c r="C47" s="100">
        <v>0.71599999999999997</v>
      </c>
      <c r="D47" s="63"/>
      <c r="E47" s="100">
        <v>0.72799999999999998</v>
      </c>
      <c r="G47" s="100"/>
      <c r="I47" s="100"/>
      <c r="K47" s="101"/>
      <c r="M47" s="101"/>
    </row>
    <row r="48" spans="1:13" s="40" customFormat="1" x14ac:dyDescent="0.2">
      <c r="A48" s="38" t="s">
        <v>2007</v>
      </c>
      <c r="B48" s="39"/>
      <c r="C48" s="63"/>
      <c r="D48" s="63"/>
      <c r="G48" s="63"/>
      <c r="I48" s="63"/>
    </row>
    <row r="49" spans="1:14" s="40" customFormat="1" x14ac:dyDescent="0.2">
      <c r="A49" s="41" t="s">
        <v>2157</v>
      </c>
      <c r="B49" s="39"/>
      <c r="C49" s="97">
        <v>31853</v>
      </c>
      <c r="D49" s="63"/>
      <c r="E49" s="97">
        <v>32195</v>
      </c>
      <c r="G49" s="97"/>
      <c r="I49" s="97">
        <v>32405</v>
      </c>
      <c r="K49" s="98"/>
      <c r="M49" s="98"/>
    </row>
    <row r="50" spans="1:14" s="40" customFormat="1" x14ac:dyDescent="0.2">
      <c r="A50" s="41" t="s">
        <v>2188</v>
      </c>
      <c r="B50" s="39"/>
      <c r="C50" s="97">
        <v>8865</v>
      </c>
      <c r="D50" s="97"/>
      <c r="E50" s="97">
        <v>8998</v>
      </c>
      <c r="G50" s="97"/>
      <c r="I50" s="97">
        <v>11640</v>
      </c>
      <c r="K50" s="98"/>
      <c r="M50" s="98"/>
    </row>
    <row r="51" spans="1:14" s="40" customFormat="1" x14ac:dyDescent="0.2">
      <c r="A51" s="41" t="s">
        <v>2189</v>
      </c>
      <c r="B51" s="39"/>
      <c r="C51" s="97">
        <f>8865*2</f>
        <v>17730</v>
      </c>
      <c r="D51" s="97"/>
      <c r="E51" s="97">
        <v>17998</v>
      </c>
      <c r="G51" s="97"/>
      <c r="I51" s="97">
        <v>20774</v>
      </c>
      <c r="K51" s="98"/>
      <c r="M51" s="98"/>
    </row>
    <row r="52" spans="1:14" s="40" customFormat="1" x14ac:dyDescent="0.2">
      <c r="A52" s="41" t="s">
        <v>2202</v>
      </c>
      <c r="B52" s="39"/>
      <c r="C52" s="97">
        <v>4832</v>
      </c>
      <c r="D52" s="97"/>
      <c r="E52" s="97">
        <v>4872</v>
      </c>
      <c r="G52" s="97"/>
      <c r="I52" s="97">
        <v>2440</v>
      </c>
      <c r="K52" s="98"/>
      <c r="M52" s="98"/>
    </row>
    <row r="53" spans="1:14" s="40" customFormat="1" x14ac:dyDescent="0.2">
      <c r="A53" s="90"/>
      <c r="B53" s="39"/>
      <c r="C53" s="63"/>
      <c r="D53" s="63"/>
      <c r="E53" s="63"/>
    </row>
    <row r="54" spans="1:14" s="37" customFormat="1" x14ac:dyDescent="0.2">
      <c r="A54" s="35" t="s">
        <v>517</v>
      </c>
      <c r="B54" s="36"/>
      <c r="C54" s="87"/>
      <c r="D54" s="87"/>
      <c r="E54" s="87"/>
    </row>
    <row r="55" spans="1:14" s="37" customFormat="1" x14ac:dyDescent="0.2">
      <c r="A55" s="35" t="s">
        <v>1968</v>
      </c>
      <c r="B55" s="36"/>
      <c r="C55" s="87"/>
      <c r="D55" s="87"/>
      <c r="E55" s="87"/>
    </row>
    <row r="56" spans="1:14" s="40" customFormat="1" x14ac:dyDescent="0.2">
      <c r="A56" s="38" t="s">
        <v>2203</v>
      </c>
      <c r="B56" s="39"/>
      <c r="C56" s="63"/>
      <c r="D56" s="63"/>
      <c r="E56" s="63"/>
    </row>
    <row r="57" spans="1:14" s="40" customFormat="1" x14ac:dyDescent="0.2">
      <c r="A57" s="41" t="s">
        <v>1298</v>
      </c>
      <c r="B57" s="39"/>
      <c r="C57" s="126">
        <v>52211000</v>
      </c>
      <c r="D57" s="63"/>
      <c r="E57" s="97">
        <v>54366000</v>
      </c>
      <c r="G57" s="98"/>
      <c r="I57" s="97">
        <v>58377000</v>
      </c>
      <c r="K57" s="98"/>
      <c r="M57" s="97"/>
      <c r="N57" s="63"/>
    </row>
    <row r="58" spans="1:14" s="40" customFormat="1" x14ac:dyDescent="0.2">
      <c r="A58" s="41" t="s">
        <v>2204</v>
      </c>
      <c r="B58" s="39"/>
      <c r="C58" s="126"/>
      <c r="D58" s="63"/>
      <c r="E58" s="97">
        <v>117000</v>
      </c>
      <c r="G58" s="98"/>
      <c r="I58" s="97">
        <v>120000</v>
      </c>
      <c r="K58" s="98"/>
      <c r="M58" s="97"/>
      <c r="N58" s="63"/>
    </row>
    <row r="59" spans="1:14" s="40" customFormat="1" x14ac:dyDescent="0.2">
      <c r="A59" s="41" t="s">
        <v>2020</v>
      </c>
      <c r="B59" s="39"/>
      <c r="C59" s="126">
        <v>6947000</v>
      </c>
      <c r="D59" s="63"/>
      <c r="E59" s="97">
        <v>7530000</v>
      </c>
      <c r="G59" s="98"/>
      <c r="I59" s="97">
        <v>8120000</v>
      </c>
      <c r="K59" s="98"/>
      <c r="M59" s="97"/>
      <c r="N59" s="63"/>
    </row>
    <row r="60" spans="1:14" s="40" customFormat="1" x14ac:dyDescent="0.2">
      <c r="A60" s="41" t="s">
        <v>2021</v>
      </c>
      <c r="B60" s="39"/>
      <c r="C60" s="126">
        <v>14378000</v>
      </c>
      <c r="D60" s="63"/>
      <c r="E60" s="97">
        <v>14995000</v>
      </c>
      <c r="G60" s="98"/>
      <c r="I60" s="97">
        <v>15913000</v>
      </c>
      <c r="K60" s="98"/>
      <c r="M60" s="97"/>
      <c r="N60" s="63"/>
    </row>
    <row r="61" spans="1:14" s="40" customFormat="1" x14ac:dyDescent="0.2">
      <c r="A61" s="41" t="s">
        <v>2205</v>
      </c>
      <c r="B61" s="39"/>
      <c r="C61" s="126">
        <v>435000</v>
      </c>
      <c r="D61" s="63"/>
      <c r="E61" s="97">
        <v>435000</v>
      </c>
      <c r="G61" s="98"/>
      <c r="I61" s="97">
        <v>435000</v>
      </c>
      <c r="K61" s="98"/>
      <c r="M61" s="97"/>
      <c r="N61" s="63"/>
    </row>
    <row r="62" spans="1:14" s="40" customFormat="1" x14ac:dyDescent="0.2">
      <c r="A62" s="41" t="s">
        <v>2022</v>
      </c>
      <c r="B62" s="39"/>
      <c r="C62" s="126">
        <v>18420000</v>
      </c>
      <c r="D62" s="63"/>
      <c r="E62" s="97">
        <v>19629000</v>
      </c>
      <c r="G62" s="98"/>
      <c r="I62" s="97">
        <v>21461000</v>
      </c>
      <c r="K62" s="98"/>
      <c r="M62" s="97"/>
      <c r="N62" s="63"/>
    </row>
    <row r="63" spans="1:14" s="40" customFormat="1" x14ac:dyDescent="0.2">
      <c r="A63" s="41" t="s">
        <v>2023</v>
      </c>
      <c r="B63" s="39"/>
      <c r="C63" s="126">
        <v>18820000</v>
      </c>
      <c r="D63" s="63"/>
      <c r="E63" s="97">
        <v>18356000</v>
      </c>
      <c r="G63" s="98"/>
      <c r="I63" s="97">
        <v>19472000</v>
      </c>
      <c r="K63" s="98"/>
      <c r="M63" s="97"/>
      <c r="N63" s="63"/>
    </row>
    <row r="64" spans="1:14" s="40" customFormat="1" x14ac:dyDescent="0.2">
      <c r="A64" s="90"/>
      <c r="B64" s="39"/>
      <c r="C64" s="63"/>
      <c r="D64" s="63"/>
    </row>
    <row r="65" spans="1:16" s="37" customFormat="1" x14ac:dyDescent="0.2">
      <c r="A65" s="35" t="s">
        <v>194</v>
      </c>
      <c r="B65" s="36"/>
      <c r="C65" s="87"/>
      <c r="D65" s="87"/>
    </row>
    <row r="66" spans="1:16" s="37" customFormat="1" x14ac:dyDescent="0.2">
      <c r="A66" s="35" t="s">
        <v>195</v>
      </c>
      <c r="B66" s="36"/>
      <c r="C66" s="87"/>
      <c r="D66" s="87"/>
    </row>
    <row r="67" spans="1:16" s="40" customFormat="1" x14ac:dyDescent="0.2">
      <c r="A67" s="41" t="s">
        <v>2030</v>
      </c>
      <c r="B67" s="39"/>
      <c r="C67" s="76">
        <v>573</v>
      </c>
      <c r="D67" s="63"/>
      <c r="E67" s="76">
        <v>573</v>
      </c>
      <c r="G67" s="76">
        <v>573</v>
      </c>
      <c r="I67" s="76">
        <v>573</v>
      </c>
      <c r="K67" s="76">
        <v>573</v>
      </c>
      <c r="M67" s="76"/>
    </row>
    <row r="68" spans="1:16" s="37" customFormat="1" x14ac:dyDescent="0.2">
      <c r="A68" s="35"/>
      <c r="B68" s="36"/>
    </row>
    <row r="69" spans="1:16" s="48" customFormat="1" x14ac:dyDescent="0.2">
      <c r="A69" s="46"/>
      <c r="B69" s="47"/>
    </row>
    <row r="70" spans="1:16" s="48" customFormat="1" x14ac:dyDescent="0.2">
      <c r="A70" s="1294" t="s">
        <v>200</v>
      </c>
      <c r="B70" s="1294"/>
      <c r="C70" s="1294"/>
      <c r="D70" s="1294"/>
      <c r="E70" s="1294"/>
      <c r="F70" s="1294"/>
      <c r="G70" s="1294"/>
      <c r="H70" s="1294"/>
      <c r="I70" s="1294"/>
      <c r="J70" s="1294"/>
      <c r="K70" s="1294"/>
      <c r="L70" s="1294"/>
      <c r="M70" s="1294"/>
      <c r="N70" s="1294"/>
    </row>
    <row r="71" spans="1:16" s="372" customFormat="1" x14ac:dyDescent="0.2">
      <c r="A71" s="1738" t="s">
        <v>2162</v>
      </c>
      <c r="B71" s="1738"/>
      <c r="C71" s="1738"/>
      <c r="D71" s="1738"/>
      <c r="E71" s="1738"/>
      <c r="F71" s="1738"/>
      <c r="G71" s="1738"/>
      <c r="H71" s="1738"/>
      <c r="I71" s="1738"/>
      <c r="J71" s="1738"/>
      <c r="K71" s="1738"/>
      <c r="L71" s="1738"/>
      <c r="M71" s="1738"/>
      <c r="N71" s="1738"/>
      <c r="O71" s="54"/>
      <c r="P71" s="54"/>
    </row>
    <row r="72" spans="1:16" s="372" customFormat="1" x14ac:dyDescent="0.2">
      <c r="A72" s="1738" t="s">
        <v>2163</v>
      </c>
      <c r="B72" s="1738"/>
      <c r="C72" s="1738"/>
      <c r="D72" s="1738"/>
      <c r="E72" s="1738"/>
      <c r="F72" s="1738"/>
      <c r="G72" s="1738"/>
      <c r="H72" s="1738"/>
      <c r="I72" s="1738"/>
      <c r="J72" s="1738"/>
      <c r="K72" s="1738"/>
      <c r="L72" s="1738"/>
      <c r="M72" s="1738"/>
      <c r="N72" s="1738"/>
      <c r="O72" s="54"/>
      <c r="P72" s="54"/>
    </row>
    <row r="73" spans="1:16" s="372" customFormat="1" x14ac:dyDescent="0.2">
      <c r="A73" s="1738" t="s">
        <v>2164</v>
      </c>
      <c r="B73" s="1738"/>
      <c r="C73" s="1738"/>
      <c r="D73" s="1738"/>
      <c r="E73" s="1738"/>
      <c r="F73" s="1738"/>
      <c r="G73" s="1738"/>
      <c r="H73" s="1738"/>
      <c r="I73" s="1738"/>
      <c r="J73" s="1738"/>
      <c r="K73" s="1738"/>
      <c r="L73" s="1738"/>
      <c r="M73" s="1738"/>
      <c r="N73" s="1738"/>
      <c r="O73" s="54"/>
      <c r="P73" s="54"/>
    </row>
    <row r="74" spans="1:16" s="372" customFormat="1" x14ac:dyDescent="0.2">
      <c r="A74" s="1738" t="s">
        <v>2165</v>
      </c>
      <c r="B74" s="1738"/>
      <c r="C74" s="1738"/>
      <c r="D74" s="1738"/>
      <c r="E74" s="1738"/>
      <c r="F74" s="1738"/>
      <c r="G74" s="1738"/>
      <c r="H74" s="1738"/>
      <c r="I74" s="1738"/>
      <c r="J74" s="1738"/>
      <c r="K74" s="1738"/>
      <c r="L74" s="1738"/>
      <c r="M74" s="1738"/>
      <c r="N74" s="1738"/>
      <c r="O74" s="54"/>
      <c r="P74" s="54"/>
    </row>
    <row r="75" spans="1:16" x14ac:dyDescent="0.2">
      <c r="A75" s="1738" t="s">
        <v>2206</v>
      </c>
      <c r="B75" s="1748"/>
      <c r="C75" s="1749"/>
      <c r="D75" s="1748"/>
      <c r="E75" s="1749"/>
      <c r="F75" s="1748"/>
      <c r="G75" s="1749"/>
      <c r="H75" s="1748"/>
      <c r="I75" s="1749"/>
      <c r="J75" s="1748"/>
      <c r="K75" s="1749"/>
      <c r="L75" s="1748"/>
      <c r="M75" s="1749"/>
      <c r="N75" s="1748"/>
      <c r="O75" s="54"/>
      <c r="P75" s="54"/>
    </row>
    <row r="76" spans="1:16" ht="27.75" customHeight="1" x14ac:dyDescent="0.2">
      <c r="A76" s="1738"/>
      <c r="B76" s="1748"/>
      <c r="C76" s="1749"/>
      <c r="D76" s="1748"/>
      <c r="E76" s="1749"/>
      <c r="F76" s="1748"/>
      <c r="G76" s="1749"/>
      <c r="H76" s="1748"/>
      <c r="I76" s="1749"/>
      <c r="J76" s="1748"/>
      <c r="K76" s="1749"/>
      <c r="L76" s="1748"/>
      <c r="M76" s="1749"/>
      <c r="N76" s="1748"/>
      <c r="O76" s="54"/>
      <c r="P76" s="54"/>
    </row>
    <row r="77" spans="1:16" x14ac:dyDescent="0.2">
      <c r="A77" s="55"/>
      <c r="B77" s="54"/>
      <c r="C77" s="56"/>
      <c r="D77" s="54"/>
      <c r="E77" s="56"/>
      <c r="F77" s="54"/>
      <c r="G77" s="56"/>
      <c r="H77" s="54"/>
      <c r="I77" s="56"/>
      <c r="J77" s="54"/>
      <c r="K77" s="56"/>
      <c r="L77" s="54"/>
      <c r="M77" s="56"/>
      <c r="N77" s="54"/>
      <c r="O77" s="54"/>
      <c r="P77" s="54"/>
    </row>
    <row r="78" spans="1:16" x14ac:dyDescent="0.2">
      <c r="A78" s="55"/>
      <c r="B78" s="54"/>
      <c r="C78" s="54"/>
      <c r="D78" s="54"/>
      <c r="E78" s="54"/>
      <c r="F78" s="54"/>
      <c r="G78" s="54"/>
      <c r="H78" s="54"/>
      <c r="I78" s="54"/>
      <c r="J78" s="54"/>
      <c r="K78" s="54"/>
      <c r="L78" s="54"/>
      <c r="M78" s="54"/>
      <c r="N78" s="54"/>
      <c r="O78" s="54"/>
      <c r="P78" s="54"/>
    </row>
    <row r="79" spans="1:16" x14ac:dyDescent="0.2">
      <c r="A79" s="55"/>
      <c r="B79" s="54"/>
      <c r="C79" s="56"/>
      <c r="D79" s="54"/>
      <c r="E79" s="56"/>
      <c r="F79" s="54"/>
      <c r="G79" s="56"/>
      <c r="H79" s="54"/>
      <c r="I79" s="56"/>
      <c r="J79" s="54"/>
      <c r="K79" s="56"/>
      <c r="L79" s="54"/>
      <c r="M79" s="56"/>
      <c r="N79" s="54"/>
      <c r="O79" s="54"/>
      <c r="P79" s="54"/>
    </row>
    <row r="80" spans="1:16" x14ac:dyDescent="0.2">
      <c r="A80" s="55"/>
      <c r="B80" s="54"/>
      <c r="C80" s="107"/>
      <c r="D80" s="54"/>
      <c r="E80" s="107"/>
      <c r="F80" s="54"/>
      <c r="G80" s="107"/>
      <c r="H80" s="54"/>
      <c r="I80" s="107"/>
      <c r="J80" s="54"/>
      <c r="K80" s="107"/>
      <c r="L80" s="54"/>
      <c r="M80" s="107"/>
      <c r="N80" s="54"/>
      <c r="O80" s="54"/>
      <c r="P80" s="54"/>
    </row>
    <row r="81" spans="1:17" x14ac:dyDescent="0.2">
      <c r="A81" s="55"/>
      <c r="B81" s="54"/>
      <c r="C81" s="56"/>
      <c r="D81" s="54"/>
      <c r="E81" s="56"/>
      <c r="F81" s="54"/>
      <c r="G81" s="56"/>
      <c r="H81" s="54"/>
      <c r="I81" s="56"/>
      <c r="J81" s="54"/>
      <c r="K81" s="56"/>
      <c r="L81" s="54"/>
      <c r="M81" s="56"/>
      <c r="N81" s="54"/>
      <c r="O81" s="54"/>
      <c r="P81" s="54"/>
    </row>
    <row r="82" spans="1:17" x14ac:dyDescent="0.2">
      <c r="A82" s="55"/>
      <c r="B82" s="54"/>
      <c r="C82" s="54"/>
      <c r="D82" s="54"/>
      <c r="E82" s="54"/>
      <c r="F82" s="54"/>
      <c r="G82" s="54"/>
      <c r="H82" s="54"/>
      <c r="I82" s="54"/>
      <c r="J82" s="54"/>
      <c r="K82" s="54"/>
      <c r="L82" s="54"/>
      <c r="M82" s="54"/>
      <c r="N82" s="54"/>
      <c r="O82" s="54"/>
      <c r="P82" s="54"/>
    </row>
    <row r="83" spans="1:17" x14ac:dyDescent="0.2">
      <c r="A83" s="55"/>
      <c r="B83" s="54"/>
      <c r="C83" s="54"/>
      <c r="D83" s="54"/>
      <c r="E83" s="54"/>
      <c r="F83" s="54"/>
      <c r="G83" s="54"/>
      <c r="H83" s="54"/>
      <c r="I83" s="54"/>
      <c r="J83" s="54"/>
      <c r="K83" s="54"/>
      <c r="L83" s="54"/>
      <c r="M83" s="54"/>
      <c r="N83" s="54"/>
      <c r="O83" s="54"/>
      <c r="P83" s="54"/>
    </row>
    <row r="84" spans="1:17" x14ac:dyDescent="0.2">
      <c r="A84" s="55"/>
      <c r="B84" s="54"/>
      <c r="C84" s="54"/>
      <c r="D84" s="54"/>
      <c r="E84" s="54"/>
      <c r="F84" s="54"/>
      <c r="G84" s="54"/>
      <c r="H84" s="54"/>
      <c r="I84" s="54"/>
      <c r="J84" s="54"/>
      <c r="K84" s="54"/>
      <c r="L84" s="54"/>
      <c r="M84" s="54"/>
      <c r="N84" s="54"/>
      <c r="O84" s="54"/>
      <c r="P84" s="54"/>
      <c r="Q84" s="57"/>
    </row>
    <row r="85" spans="1:17" x14ac:dyDescent="0.2">
      <c r="B85" s="25"/>
      <c r="C85" s="25"/>
      <c r="D85" s="25"/>
      <c r="E85" s="58"/>
      <c r="F85" s="58"/>
      <c r="G85" s="58"/>
      <c r="H85" s="58"/>
    </row>
    <row r="86" spans="1:17" x14ac:dyDescent="0.2">
      <c r="B86" s="25"/>
      <c r="C86" s="25"/>
      <c r="D86" s="25"/>
      <c r="E86" s="58"/>
      <c r="F86" s="58"/>
      <c r="G86" s="58"/>
      <c r="H86" s="58"/>
    </row>
    <row r="87" spans="1:17" x14ac:dyDescent="0.2">
      <c r="B87" s="25"/>
      <c r="C87" s="25"/>
      <c r="D87" s="25"/>
      <c r="E87" s="58"/>
      <c r="F87" s="58"/>
      <c r="G87" s="58"/>
      <c r="H87" s="58"/>
    </row>
    <row r="88" spans="1:17" x14ac:dyDescent="0.2">
      <c r="B88" s="25"/>
      <c r="C88" s="58"/>
      <c r="D88" s="25"/>
      <c r="E88" s="58"/>
      <c r="F88" s="58"/>
      <c r="G88" s="58"/>
      <c r="H88" s="58"/>
    </row>
    <row r="89" spans="1:17" x14ac:dyDescent="0.2">
      <c r="B89" s="25"/>
      <c r="C89" s="25"/>
      <c r="D89" s="25"/>
      <c r="E89" s="58"/>
      <c r="F89" s="58"/>
      <c r="G89" s="58"/>
      <c r="H89" s="58"/>
    </row>
    <row r="90" spans="1:17" x14ac:dyDescent="0.2">
      <c r="B90" s="25"/>
      <c r="C90" s="25"/>
      <c r="D90" s="25"/>
      <c r="E90" s="58"/>
      <c r="F90" s="58"/>
      <c r="G90" s="58"/>
      <c r="H90" s="58"/>
    </row>
    <row r="91" spans="1:17" x14ac:dyDescent="0.2">
      <c r="B91" s="25"/>
      <c r="C91" s="25"/>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row>
    <row r="115" spans="2:8" x14ac:dyDescent="0.2">
      <c r="B115" s="25"/>
    </row>
    <row r="116" spans="2:8" x14ac:dyDescent="0.2">
      <c r="B116" s="25"/>
    </row>
    <row r="117" spans="2:8" x14ac:dyDescent="0.2">
      <c r="B117" s="25"/>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sheetData>
  <mergeCells count="7">
    <mergeCell ref="A75:N75"/>
    <mergeCell ref="A76:N76"/>
    <mergeCell ref="K2:K3"/>
    <mergeCell ref="A71:N71"/>
    <mergeCell ref="A72:N72"/>
    <mergeCell ref="A73:N73"/>
    <mergeCell ref="A74:N74"/>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36" right="0.25" top="0.5" bottom="0.51" header="0.5" footer="0.24"/>
  <pageSetup scale="76" pageOrder="overThenDown" orientation="portrait" blackAndWhite="1" r:id="rId1"/>
  <headerFooter alignWithMargins="0"/>
  <rowBreaks count="1" manualBreakCount="1">
    <brk id="67" max="16383"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5"/>
  <dimension ref="A1:Q136"/>
  <sheetViews>
    <sheetView showGridLines="0" workbookViewId="0">
      <pane xSplit="2" ySplit="9" topLeftCell="C10" activePane="bottomRight" state="frozen"/>
      <selection pane="topRight" activeCell="C1" sqref="C1"/>
      <selection pane="bottomLeft" activeCell="A10" sqref="A10"/>
      <selection pane="bottomRight" activeCell="C2" sqref="C2"/>
    </sheetView>
  </sheetViews>
  <sheetFormatPr defaultRowHeight="12.75" x14ac:dyDescent="0.2"/>
  <cols>
    <col min="1" max="1" width="53.570312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customWidth="1"/>
    <col min="11" max="11" width="12.7109375" style="175"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1295"/>
      <c r="D1" s="1296"/>
      <c r="E1" s="1297"/>
      <c r="F1" s="1296"/>
      <c r="G1" s="1298"/>
      <c r="H1" s="1296"/>
      <c r="I1" s="1298"/>
      <c r="J1" s="1299"/>
      <c r="K1" s="1300"/>
      <c r="L1" s="1299"/>
      <c r="M1" s="1298"/>
      <c r="N1" s="1299"/>
    </row>
    <row r="2" spans="1:16" s="4" customFormat="1" ht="15.75" x14ac:dyDescent="0.25">
      <c r="A2" s="1" t="s">
        <v>175</v>
      </c>
      <c r="B2" s="7" t="s">
        <v>176</v>
      </c>
      <c r="C2" s="7" t="s">
        <v>0</v>
      </c>
      <c r="D2" s="1299"/>
      <c r="E2" s="1301"/>
      <c r="F2" s="1302"/>
      <c r="G2" s="1301"/>
      <c r="H2" s="1299"/>
      <c r="I2" s="1301"/>
      <c r="J2" s="1299"/>
      <c r="K2" s="1733" t="s">
        <v>171</v>
      </c>
      <c r="L2" s="1299"/>
      <c r="M2" s="1301"/>
      <c r="N2" s="1299"/>
    </row>
    <row r="3" spans="1:16" s="4" customFormat="1" ht="15.75" x14ac:dyDescent="0.25">
      <c r="A3" s="1" t="s">
        <v>177</v>
      </c>
      <c r="B3" s="10">
        <v>74</v>
      </c>
      <c r="C3" s="10" t="s">
        <v>1896</v>
      </c>
      <c r="D3" s="1299"/>
      <c r="E3" s="1303"/>
      <c r="F3" s="1302"/>
      <c r="G3" s="1303"/>
      <c r="H3" s="1299"/>
      <c r="I3" s="1303"/>
      <c r="J3" s="1299"/>
      <c r="K3" s="1734"/>
      <c r="L3" s="1299"/>
      <c r="M3" s="1303"/>
      <c r="N3" s="1299"/>
    </row>
    <row r="4" spans="1:16" s="4" customFormat="1" ht="15.75" x14ac:dyDescent="0.25">
      <c r="A4" s="1" t="s">
        <v>180</v>
      </c>
      <c r="B4" s="10">
        <v>36</v>
      </c>
      <c r="C4" s="10" t="s">
        <v>46</v>
      </c>
      <c r="D4" s="1299"/>
      <c r="E4" s="1303"/>
      <c r="F4" s="1302"/>
      <c r="G4" s="1303"/>
      <c r="H4" s="1299"/>
      <c r="I4" s="1303"/>
      <c r="J4" s="1299"/>
      <c r="K4" s="1300"/>
      <c r="L4" s="1299"/>
      <c r="M4" s="1303"/>
      <c r="N4" s="1299"/>
    </row>
    <row r="5" spans="1:16" s="4" customFormat="1" ht="15.75" x14ac:dyDescent="0.2">
      <c r="A5" s="1" t="s">
        <v>183</v>
      </c>
      <c r="B5" s="12">
        <v>2480</v>
      </c>
      <c r="C5" s="12" t="s">
        <v>61</v>
      </c>
      <c r="D5" s="1304"/>
      <c r="E5" s="1305"/>
      <c r="F5" s="1296"/>
      <c r="G5" s="1305"/>
      <c r="H5" s="1296"/>
      <c r="I5" s="1305"/>
      <c r="J5" s="1296"/>
      <c r="K5" s="1300"/>
      <c r="L5" s="1296"/>
      <c r="M5" s="1305"/>
      <c r="N5" s="1296"/>
    </row>
    <row r="6" spans="1:16" s="4" customFormat="1" ht="15.75" x14ac:dyDescent="0.25">
      <c r="A6" s="15" t="s">
        <v>186</v>
      </c>
      <c r="B6" s="1306">
        <v>4</v>
      </c>
      <c r="C6" s="1307"/>
      <c r="D6" s="1308"/>
      <c r="E6" s="1309"/>
      <c r="F6" s="1302"/>
      <c r="G6" s="1301"/>
      <c r="H6" s="1299"/>
      <c r="I6" s="1301"/>
      <c r="J6" s="1299"/>
      <c r="K6" s="1300"/>
      <c r="L6" s="1299"/>
      <c r="M6" s="1301"/>
      <c r="N6" s="1299"/>
    </row>
    <row r="7" spans="1:16" s="24" customFormat="1" x14ac:dyDescent="0.2">
      <c r="A7" s="289"/>
      <c r="B7" s="1310"/>
      <c r="C7" s="1311"/>
      <c r="D7" s="1312"/>
      <c r="E7" s="1311"/>
      <c r="F7" s="1312"/>
      <c r="G7" s="1311"/>
      <c r="H7" s="1312"/>
      <c r="I7" s="1311"/>
      <c r="J7" s="1312"/>
      <c r="K7" s="1313" t="s">
        <v>187</v>
      </c>
      <c r="L7" s="1312"/>
      <c r="M7" s="1311" t="s">
        <v>187</v>
      </c>
      <c r="N7" s="1312"/>
    </row>
    <row r="8" spans="1:16" x14ac:dyDescent="0.2">
      <c r="A8" s="282"/>
      <c r="B8" s="283"/>
      <c r="C8" s="1314" t="s">
        <v>188</v>
      </c>
      <c r="D8" s="1315" t="s">
        <v>189</v>
      </c>
      <c r="E8" s="1314" t="s">
        <v>188</v>
      </c>
      <c r="F8" s="1315" t="s">
        <v>189</v>
      </c>
      <c r="G8" s="1314" t="s">
        <v>190</v>
      </c>
      <c r="H8" s="1315" t="s">
        <v>189</v>
      </c>
      <c r="I8" s="1314" t="s">
        <v>191</v>
      </c>
      <c r="J8" s="1315" t="s">
        <v>189</v>
      </c>
      <c r="K8" s="1316" t="s">
        <v>192</v>
      </c>
      <c r="L8" s="1315" t="s">
        <v>189</v>
      </c>
      <c r="M8" s="1314" t="s">
        <v>192</v>
      </c>
      <c r="N8" s="1315" t="s">
        <v>189</v>
      </c>
      <c r="O8" s="29"/>
      <c r="P8" s="29"/>
    </row>
    <row r="9" spans="1:16" s="24" customFormat="1" ht="14.25" x14ac:dyDescent="0.2">
      <c r="A9" s="344"/>
      <c r="B9" s="1317"/>
      <c r="C9" s="1318" t="str">
        <f>"FY " &amp; FiscalYear - 3</f>
        <v>FY 2016</v>
      </c>
      <c r="D9" s="1319" t="s">
        <v>193</v>
      </c>
      <c r="E9" s="1318" t="str">
        <f>"FY " &amp; FiscalYear - 2</f>
        <v>FY 2017</v>
      </c>
      <c r="F9" s="1319" t="s">
        <v>193</v>
      </c>
      <c r="G9" s="1318" t="str">
        <f>"FY " &amp; FiscalYear - 1</f>
        <v>FY 2018</v>
      </c>
      <c r="H9" s="1319" t="s">
        <v>193</v>
      </c>
      <c r="I9" s="1320" t="str">
        <f>"FY " &amp; FiscalYear - 1</f>
        <v>FY 2018</v>
      </c>
      <c r="J9" s="1319" t="s">
        <v>193</v>
      </c>
      <c r="K9" s="1321" t="str">
        <f>"FY " &amp; FiscalYear</f>
        <v>FY 2019</v>
      </c>
      <c r="L9" s="1319" t="s">
        <v>193</v>
      </c>
      <c r="M9" s="1320" t="str">
        <f>"FY " &amp; FiscalYear + 1</f>
        <v>FY 2020</v>
      </c>
      <c r="N9" s="1319" t="s">
        <v>193</v>
      </c>
    </row>
    <row r="10" spans="1:16" s="37" customFormat="1" x14ac:dyDescent="0.2">
      <c r="A10" s="35" t="s">
        <v>222</v>
      </c>
      <c r="B10" s="36"/>
    </row>
    <row r="11" spans="1:16" s="37" customFormat="1" x14ac:dyDescent="0.2">
      <c r="A11" s="35" t="s">
        <v>1968</v>
      </c>
      <c r="B11" s="36"/>
    </row>
    <row r="12" spans="1:16" s="40" customFormat="1" x14ac:dyDescent="0.2">
      <c r="A12" s="38" t="s">
        <v>1969</v>
      </c>
      <c r="B12" s="39"/>
      <c r="C12" s="639">
        <f>C26+C20+C14</f>
        <v>8440</v>
      </c>
      <c r="D12" s="63"/>
      <c r="E12" s="639">
        <f>E26+E20+E14</f>
        <v>8488</v>
      </c>
      <c r="G12" s="639">
        <f>G26+G20+G14</f>
        <v>8815</v>
      </c>
      <c r="I12" s="639">
        <f>I26+I20+I14</f>
        <v>8968</v>
      </c>
      <c r="K12" s="639">
        <f>K26+K20+K14</f>
        <v>9371</v>
      </c>
      <c r="M12" s="62"/>
    </row>
    <row r="13" spans="1:16" s="40" customFormat="1" x14ac:dyDescent="0.2">
      <c r="A13" s="38" t="s">
        <v>1970</v>
      </c>
      <c r="B13" s="39"/>
      <c r="C13" s="639">
        <f>C27+C21+C15</f>
        <v>8078</v>
      </c>
      <c r="D13" s="63"/>
      <c r="E13" s="639">
        <f>E27+E21+E15</f>
        <v>8150</v>
      </c>
      <c r="G13" s="639">
        <f>G27+G21+G15</f>
        <v>8529.76</v>
      </c>
      <c r="I13" s="639">
        <f>I27+I21+I15</f>
        <v>8610</v>
      </c>
      <c r="K13" s="639">
        <f>K27+K21+K15</f>
        <v>9001</v>
      </c>
      <c r="M13" s="62"/>
    </row>
    <row r="14" spans="1:16" s="40" customFormat="1" x14ac:dyDescent="0.2">
      <c r="A14" s="41" t="s">
        <v>1971</v>
      </c>
      <c r="B14" s="39"/>
      <c r="C14" s="639">
        <f>C16+C18</f>
        <v>7607</v>
      </c>
      <c r="D14" s="63"/>
      <c r="E14" s="639">
        <f>E16+E18</f>
        <v>7633</v>
      </c>
      <c r="G14" s="639">
        <f>G16+G18</f>
        <v>7933</v>
      </c>
      <c r="I14" s="639">
        <f>I16+I18</f>
        <v>8065</v>
      </c>
      <c r="K14" s="639">
        <f>K16+K18</f>
        <v>8428</v>
      </c>
      <c r="M14" s="62"/>
      <c r="O14" s="118"/>
    </row>
    <row r="15" spans="1:16" s="40" customFormat="1" x14ac:dyDescent="0.2">
      <c r="A15" s="41" t="s">
        <v>1972</v>
      </c>
      <c r="B15" s="39"/>
      <c r="C15" s="639">
        <f>C17+C19</f>
        <v>7502</v>
      </c>
      <c r="D15" s="63"/>
      <c r="E15" s="639">
        <f>E17+E19</f>
        <v>7540</v>
      </c>
      <c r="G15" s="639">
        <f>G17+G19</f>
        <v>7884.5199999999995</v>
      </c>
      <c r="I15" s="639">
        <f>I17+I19</f>
        <v>7966</v>
      </c>
      <c r="K15" s="639">
        <f>K17+K19</f>
        <v>8326</v>
      </c>
      <c r="M15" s="62"/>
      <c r="O15" s="118"/>
    </row>
    <row r="16" spans="1:16" s="40" customFormat="1" x14ac:dyDescent="0.2">
      <c r="A16" s="90" t="s">
        <v>1973</v>
      </c>
      <c r="B16" s="39"/>
      <c r="C16" s="1036">
        <v>7148</v>
      </c>
      <c r="E16" s="639">
        <v>7173</v>
      </c>
      <c r="G16" s="42">
        <v>7491</v>
      </c>
      <c r="I16" s="42">
        <v>7579</v>
      </c>
      <c r="K16" s="42">
        <v>7920</v>
      </c>
      <c r="M16" s="62"/>
      <c r="O16" s="118"/>
    </row>
    <row r="17" spans="1:15" s="40" customFormat="1" x14ac:dyDescent="0.2">
      <c r="A17" s="90" t="s">
        <v>1974</v>
      </c>
      <c r="B17" s="39"/>
      <c r="C17" s="1036">
        <v>7306</v>
      </c>
      <c r="E17" s="639">
        <v>7340</v>
      </c>
      <c r="G17" s="42">
        <v>7692.6849999999995</v>
      </c>
      <c r="I17" s="42">
        <v>7755</v>
      </c>
      <c r="K17" s="42">
        <v>8105</v>
      </c>
      <c r="M17" s="62"/>
      <c r="O17" s="118"/>
    </row>
    <row r="18" spans="1:15" s="40" customFormat="1" x14ac:dyDescent="0.2">
      <c r="A18" s="90" t="s">
        <v>1975</v>
      </c>
      <c r="B18" s="39"/>
      <c r="C18" s="1036">
        <v>459</v>
      </c>
      <c r="E18" s="639">
        <v>460</v>
      </c>
      <c r="G18" s="42">
        <v>442</v>
      </c>
      <c r="I18" s="42">
        <v>486</v>
      </c>
      <c r="K18" s="42">
        <v>508</v>
      </c>
      <c r="M18" s="62"/>
      <c r="O18" s="118"/>
    </row>
    <row r="19" spans="1:15" s="40" customFormat="1" x14ac:dyDescent="0.2">
      <c r="A19" s="90" t="s">
        <v>1976</v>
      </c>
      <c r="B19" s="39"/>
      <c r="C19" s="1036">
        <v>196</v>
      </c>
      <c r="E19" s="639">
        <v>200</v>
      </c>
      <c r="G19" s="42">
        <v>191.83499999999998</v>
      </c>
      <c r="I19" s="42">
        <v>211</v>
      </c>
      <c r="K19" s="42">
        <v>221</v>
      </c>
      <c r="M19" s="62"/>
      <c r="O19" s="118"/>
    </row>
    <row r="20" spans="1:15" s="40" customFormat="1" x14ac:dyDescent="0.2">
      <c r="A20" s="41" t="s">
        <v>1977</v>
      </c>
      <c r="B20" s="39"/>
      <c r="C20" s="639">
        <f>C22+C24</f>
        <v>733</v>
      </c>
      <c r="E20" s="639">
        <f>E22+E24</f>
        <v>727</v>
      </c>
      <c r="G20" s="639">
        <f>G22+G24</f>
        <v>750</v>
      </c>
      <c r="I20" s="639">
        <f>I22+I24</f>
        <v>768</v>
      </c>
      <c r="K20" s="639">
        <f>K22+K24</f>
        <v>802</v>
      </c>
      <c r="M20" s="62"/>
      <c r="O20" s="118"/>
    </row>
    <row r="21" spans="1:15" s="40" customFormat="1" x14ac:dyDescent="0.2">
      <c r="A21" s="41" t="s">
        <v>1978</v>
      </c>
      <c r="B21" s="39"/>
      <c r="C21" s="1036">
        <f>C23+C25</f>
        <v>469</v>
      </c>
      <c r="E21" s="639">
        <f>E23+E25</f>
        <v>483</v>
      </c>
      <c r="G21" s="639">
        <f>G23+G25</f>
        <v>509</v>
      </c>
      <c r="I21" s="639">
        <f>I23+I25</f>
        <v>510</v>
      </c>
      <c r="K21" s="639">
        <f>K23+K25</f>
        <v>534</v>
      </c>
      <c r="M21" s="62"/>
      <c r="O21" s="118"/>
    </row>
    <row r="22" spans="1:15" s="40" customFormat="1" x14ac:dyDescent="0.2">
      <c r="A22" s="90" t="s">
        <v>1973</v>
      </c>
      <c r="B22" s="39"/>
      <c r="C22" s="1036">
        <v>273</v>
      </c>
      <c r="E22" s="639">
        <v>282</v>
      </c>
      <c r="G22" s="42">
        <v>290</v>
      </c>
      <c r="I22" s="42">
        <v>298</v>
      </c>
      <c r="K22" s="42">
        <v>311</v>
      </c>
      <c r="M22" s="62"/>
      <c r="O22" s="118"/>
    </row>
    <row r="23" spans="1:15" s="40" customFormat="1" x14ac:dyDescent="0.2">
      <c r="A23" s="90" t="s">
        <v>1974</v>
      </c>
      <c r="B23" s="39"/>
      <c r="C23" s="1036">
        <v>307</v>
      </c>
      <c r="E23" s="639">
        <v>323</v>
      </c>
      <c r="G23" s="42">
        <v>342</v>
      </c>
      <c r="I23" s="42">
        <v>341</v>
      </c>
      <c r="K23" s="42">
        <v>357</v>
      </c>
      <c r="M23" s="62"/>
    </row>
    <row r="24" spans="1:15" s="40" customFormat="1" x14ac:dyDescent="0.2">
      <c r="A24" s="90" t="s">
        <v>1975</v>
      </c>
      <c r="B24" s="39"/>
      <c r="C24" s="1036">
        <v>460</v>
      </c>
      <c r="E24" s="639">
        <v>445</v>
      </c>
      <c r="G24" s="42">
        <v>460</v>
      </c>
      <c r="I24" s="42">
        <v>470</v>
      </c>
      <c r="K24" s="42">
        <v>491</v>
      </c>
      <c r="M24" s="62"/>
    </row>
    <row r="25" spans="1:15" s="40" customFormat="1" x14ac:dyDescent="0.2">
      <c r="A25" s="90" t="s">
        <v>1976</v>
      </c>
      <c r="B25" s="39"/>
      <c r="C25" s="1036">
        <v>162</v>
      </c>
      <c r="E25" s="639">
        <v>160</v>
      </c>
      <c r="G25" s="42">
        <v>167</v>
      </c>
      <c r="I25" s="42">
        <v>169</v>
      </c>
      <c r="K25" s="42">
        <v>177</v>
      </c>
      <c r="M25" s="62"/>
    </row>
    <row r="26" spans="1:15" s="40" customFormat="1" x14ac:dyDescent="0.2">
      <c r="A26" s="41" t="s">
        <v>2143</v>
      </c>
      <c r="B26" s="39"/>
      <c r="C26" s="639">
        <f>C28+C30</f>
        <v>100</v>
      </c>
      <c r="E26" s="639">
        <f>E28+E30</f>
        <v>128</v>
      </c>
      <c r="G26" s="639">
        <v>132</v>
      </c>
      <c r="I26" s="639">
        <f>I28+I30</f>
        <v>135</v>
      </c>
      <c r="K26" s="639">
        <f>K28+K30</f>
        <v>141</v>
      </c>
      <c r="M26" s="62"/>
    </row>
    <row r="27" spans="1:15" s="40" customFormat="1" x14ac:dyDescent="0.2">
      <c r="A27" s="41" t="s">
        <v>2144</v>
      </c>
      <c r="B27" s="39"/>
      <c r="C27" s="639">
        <f>C29+C31</f>
        <v>107</v>
      </c>
      <c r="E27" s="639">
        <f>E29+E31</f>
        <v>127</v>
      </c>
      <c r="G27" s="639">
        <f>G29+G31</f>
        <v>136.24</v>
      </c>
      <c r="I27" s="639">
        <f>I29+I31</f>
        <v>134</v>
      </c>
      <c r="K27" s="639">
        <f>K29+K31</f>
        <v>141</v>
      </c>
      <c r="M27" s="62"/>
    </row>
    <row r="28" spans="1:15" s="40" customFormat="1" x14ac:dyDescent="0.2">
      <c r="A28" s="90" t="s">
        <v>1973</v>
      </c>
      <c r="B28" s="39"/>
      <c r="C28" s="1036">
        <v>68</v>
      </c>
      <c r="E28" s="639">
        <v>76</v>
      </c>
      <c r="G28" s="42">
        <v>76</v>
      </c>
      <c r="I28" s="42">
        <v>80</v>
      </c>
      <c r="K28" s="42">
        <v>84</v>
      </c>
      <c r="M28" s="62"/>
    </row>
    <row r="29" spans="1:15" s="40" customFormat="1" x14ac:dyDescent="0.2">
      <c r="A29" s="90" t="s">
        <v>1974</v>
      </c>
      <c r="B29" s="39"/>
      <c r="C29" s="1036">
        <v>95</v>
      </c>
      <c r="E29" s="639">
        <v>102</v>
      </c>
      <c r="G29" s="42">
        <v>109.2</v>
      </c>
      <c r="I29" s="42">
        <v>108</v>
      </c>
      <c r="K29" s="42">
        <v>113</v>
      </c>
      <c r="M29" s="62"/>
    </row>
    <row r="30" spans="1:15" s="40" customFormat="1" x14ac:dyDescent="0.2">
      <c r="A30" s="90" t="s">
        <v>1975</v>
      </c>
      <c r="B30" s="39"/>
      <c r="C30" s="1036">
        <v>32</v>
      </c>
      <c r="E30" s="639">
        <v>52</v>
      </c>
      <c r="G30" s="42">
        <v>56</v>
      </c>
      <c r="I30" s="42">
        <v>55</v>
      </c>
      <c r="K30" s="42">
        <v>57</v>
      </c>
      <c r="M30" s="62"/>
    </row>
    <row r="31" spans="1:15" s="40" customFormat="1" x14ac:dyDescent="0.2">
      <c r="A31" s="90" t="s">
        <v>1976</v>
      </c>
      <c r="B31" s="39"/>
      <c r="C31" s="1036">
        <v>12</v>
      </c>
      <c r="E31" s="639">
        <v>25</v>
      </c>
      <c r="G31" s="42">
        <v>27.04</v>
      </c>
      <c r="I31" s="42">
        <v>26</v>
      </c>
      <c r="K31" s="42">
        <v>28</v>
      </c>
      <c r="M31" s="62"/>
    </row>
    <row r="32" spans="1:15" s="40" customFormat="1" x14ac:dyDescent="0.2">
      <c r="A32" s="490" t="s">
        <v>1981</v>
      </c>
      <c r="B32" s="39"/>
      <c r="C32" s="1036">
        <v>53</v>
      </c>
      <c r="E32" s="639">
        <v>55</v>
      </c>
      <c r="G32" s="42">
        <v>53</v>
      </c>
      <c r="I32" s="42">
        <v>55</v>
      </c>
      <c r="K32" s="42">
        <v>56</v>
      </c>
      <c r="M32" s="62"/>
    </row>
    <row r="33" spans="1:13" s="40" customFormat="1" x14ac:dyDescent="0.2">
      <c r="A33" s="490" t="s">
        <v>1982</v>
      </c>
      <c r="B33" s="39"/>
      <c r="C33" s="1036">
        <v>3260</v>
      </c>
      <c r="E33" s="639">
        <v>3232</v>
      </c>
      <c r="G33" s="42">
        <v>3260</v>
      </c>
      <c r="I33" s="42">
        <v>3297</v>
      </c>
      <c r="K33" s="42">
        <v>3538</v>
      </c>
      <c r="M33" s="62"/>
    </row>
    <row r="34" spans="1:13" s="40" customFormat="1" x14ac:dyDescent="0.2">
      <c r="A34" s="490" t="s">
        <v>1983</v>
      </c>
      <c r="B34" s="39"/>
      <c r="C34" s="1036"/>
      <c r="E34" s="639"/>
      <c r="M34" s="76"/>
    </row>
    <row r="35" spans="1:13" s="40" customFormat="1" x14ac:dyDescent="0.2">
      <c r="A35" s="41" t="s">
        <v>1984</v>
      </c>
      <c r="B35" s="39"/>
      <c r="C35" s="1036">
        <v>2095</v>
      </c>
      <c r="D35" s="44"/>
      <c r="E35" s="1036">
        <v>1997</v>
      </c>
      <c r="F35" s="44"/>
      <c r="G35" s="44">
        <v>2095</v>
      </c>
      <c r="I35" s="44">
        <v>2044</v>
      </c>
      <c r="K35" s="42">
        <v>2154</v>
      </c>
      <c r="M35" s="62"/>
    </row>
    <row r="36" spans="1:13" s="40" customFormat="1" x14ac:dyDescent="0.2">
      <c r="A36" s="41" t="s">
        <v>1985</v>
      </c>
      <c r="B36" s="39"/>
      <c r="C36" s="1036">
        <v>259</v>
      </c>
      <c r="D36" s="44"/>
      <c r="E36" s="1036">
        <v>290</v>
      </c>
      <c r="F36" s="44"/>
      <c r="G36" s="44">
        <v>259</v>
      </c>
      <c r="I36" s="44">
        <v>300</v>
      </c>
      <c r="K36" s="42">
        <v>310</v>
      </c>
      <c r="M36" s="62"/>
    </row>
    <row r="37" spans="1:13" s="40" customFormat="1" x14ac:dyDescent="0.2">
      <c r="A37" s="41" t="s">
        <v>2122</v>
      </c>
      <c r="B37" s="39"/>
      <c r="C37" s="1036">
        <v>39</v>
      </c>
      <c r="E37" s="1036">
        <v>27</v>
      </c>
      <c r="G37" s="42">
        <v>39</v>
      </c>
      <c r="I37" s="42">
        <v>31</v>
      </c>
      <c r="K37" s="42">
        <v>40</v>
      </c>
      <c r="M37" s="62"/>
    </row>
    <row r="38" spans="1:13" s="40" customFormat="1" x14ac:dyDescent="0.2">
      <c r="A38" s="490" t="s">
        <v>2146</v>
      </c>
      <c r="B38" s="39"/>
      <c r="C38" s="1322" t="s">
        <v>2093</v>
      </c>
      <c r="E38" s="1322" t="s">
        <v>2093</v>
      </c>
      <c r="G38" s="1323" t="s">
        <v>2093</v>
      </c>
      <c r="I38" s="1322" t="s">
        <v>2093</v>
      </c>
      <c r="K38" s="1322" t="s">
        <v>2093</v>
      </c>
      <c r="M38" s="62"/>
    </row>
    <row r="39" spans="1:13" s="40" customFormat="1" x14ac:dyDescent="0.2">
      <c r="A39" s="490" t="s">
        <v>2019</v>
      </c>
      <c r="B39" s="39"/>
      <c r="C39" s="1036"/>
      <c r="E39" s="639"/>
      <c r="M39" s="76"/>
    </row>
    <row r="40" spans="1:13" s="40" customFormat="1" x14ac:dyDescent="0.2">
      <c r="A40" s="41" t="s">
        <v>2207</v>
      </c>
      <c r="B40" s="39"/>
      <c r="C40" s="430">
        <f>C42+C44</f>
        <v>2211</v>
      </c>
      <c r="E40" s="430">
        <f>E42+E44</f>
        <v>2230</v>
      </c>
      <c r="G40" s="430">
        <v>2211</v>
      </c>
      <c r="I40" s="430">
        <f>I42+I44</f>
        <v>2252</v>
      </c>
      <c r="K40" s="430">
        <f>K42+K44</f>
        <v>2275</v>
      </c>
      <c r="M40" s="62"/>
    </row>
    <row r="41" spans="1:13" s="40" customFormat="1" x14ac:dyDescent="0.2">
      <c r="A41" s="41" t="s">
        <v>2128</v>
      </c>
      <c r="B41" s="39"/>
      <c r="C41" s="430">
        <f>C43+C45</f>
        <v>1849</v>
      </c>
      <c r="E41" s="430">
        <f>E43+E45</f>
        <v>1812</v>
      </c>
      <c r="G41" s="430">
        <v>1849</v>
      </c>
      <c r="I41" s="430">
        <f>I43+I45</f>
        <v>1830</v>
      </c>
      <c r="K41" s="430">
        <f>K43+K45</f>
        <v>1848</v>
      </c>
      <c r="M41" s="62"/>
    </row>
    <row r="42" spans="1:13" s="40" customFormat="1" x14ac:dyDescent="0.2">
      <c r="A42" s="90" t="s">
        <v>2208</v>
      </c>
      <c r="B42" s="39"/>
      <c r="C42" s="1036">
        <v>1694</v>
      </c>
      <c r="E42" s="1036">
        <v>1684</v>
      </c>
      <c r="G42" s="1036">
        <v>1694</v>
      </c>
      <c r="I42" s="1036">
        <v>1701</v>
      </c>
      <c r="K42" s="42">
        <v>1718</v>
      </c>
      <c r="M42" s="62"/>
    </row>
    <row r="43" spans="1:13" s="40" customFormat="1" x14ac:dyDescent="0.2">
      <c r="A43" s="90" t="s">
        <v>2130</v>
      </c>
      <c r="B43" s="39"/>
      <c r="C43" s="1036">
        <v>1427</v>
      </c>
      <c r="E43" s="1036">
        <v>1415</v>
      </c>
      <c r="G43" s="1036">
        <v>1427</v>
      </c>
      <c r="I43" s="1036">
        <v>1429</v>
      </c>
      <c r="K43" s="42">
        <v>1443</v>
      </c>
      <c r="M43" s="62"/>
    </row>
    <row r="44" spans="1:13" s="40" customFormat="1" x14ac:dyDescent="0.2">
      <c r="A44" s="90" t="s">
        <v>2131</v>
      </c>
      <c r="B44" s="39"/>
      <c r="C44" s="1036">
        <v>517</v>
      </c>
      <c r="E44" s="1036">
        <v>546</v>
      </c>
      <c r="G44" s="1036">
        <v>517</v>
      </c>
      <c r="I44" s="1036">
        <v>551</v>
      </c>
      <c r="K44" s="42">
        <v>557</v>
      </c>
      <c r="M44" s="62"/>
    </row>
    <row r="45" spans="1:13" s="40" customFormat="1" x14ac:dyDescent="0.2">
      <c r="A45" s="90" t="s">
        <v>2132</v>
      </c>
      <c r="B45" s="39"/>
      <c r="C45" s="1036">
        <v>422</v>
      </c>
      <c r="E45" s="1036">
        <v>397</v>
      </c>
      <c r="G45" s="1036">
        <v>422</v>
      </c>
      <c r="I45" s="1036">
        <v>401</v>
      </c>
      <c r="K45" s="42">
        <v>405</v>
      </c>
      <c r="M45" s="62"/>
    </row>
    <row r="46" spans="1:13" s="40" customFormat="1" x14ac:dyDescent="0.2">
      <c r="A46" s="41" t="s">
        <v>2133</v>
      </c>
      <c r="B46" s="39"/>
      <c r="C46" s="581">
        <v>4114884</v>
      </c>
      <c r="D46" s="202"/>
      <c r="E46" s="581">
        <v>3915879</v>
      </c>
      <c r="F46" s="202"/>
      <c r="G46" s="1324">
        <v>4114884</v>
      </c>
      <c r="I46" s="1324">
        <v>4033355</v>
      </c>
      <c r="K46" s="582">
        <v>4154356</v>
      </c>
      <c r="M46" s="917"/>
    </row>
    <row r="47" spans="1:13" s="40" customFormat="1" ht="18.75" customHeight="1" x14ac:dyDescent="0.2">
      <c r="A47" s="1325" t="s">
        <v>1993</v>
      </c>
      <c r="B47" s="39"/>
      <c r="C47" s="1036">
        <v>1020</v>
      </c>
      <c r="E47" s="639">
        <v>932</v>
      </c>
      <c r="G47" s="639"/>
      <c r="I47" s="639">
        <v>1180</v>
      </c>
      <c r="K47" s="42"/>
      <c r="M47" s="42"/>
    </row>
    <row r="48" spans="1:13" s="40" customFormat="1" x14ac:dyDescent="0.2">
      <c r="A48" s="41" t="s">
        <v>1994</v>
      </c>
      <c r="B48" s="39"/>
      <c r="C48" s="1036">
        <v>553</v>
      </c>
      <c r="E48" s="430">
        <v>553</v>
      </c>
      <c r="G48" s="430"/>
      <c r="I48" s="639">
        <v>559</v>
      </c>
      <c r="K48" s="42"/>
      <c r="M48" s="42"/>
    </row>
    <row r="49" spans="1:15" s="40" customFormat="1" x14ac:dyDescent="0.2">
      <c r="A49" s="41" t="s">
        <v>1998</v>
      </c>
      <c r="B49" s="39"/>
      <c r="C49" s="1036">
        <v>534</v>
      </c>
      <c r="E49" s="639">
        <v>535</v>
      </c>
      <c r="G49" s="639"/>
      <c r="I49" s="639">
        <v>565</v>
      </c>
      <c r="K49" s="42"/>
      <c r="M49" s="42"/>
      <c r="O49" s="77"/>
    </row>
    <row r="50" spans="1:15" s="40" customFormat="1" x14ac:dyDescent="0.2">
      <c r="A50" s="41" t="s">
        <v>2094</v>
      </c>
      <c r="B50" s="39"/>
      <c r="C50" s="1326">
        <f>SUM(C48:C49)</f>
        <v>1087</v>
      </c>
      <c r="D50" s="1326"/>
      <c r="E50" s="1326">
        <f>SUM(E48:E49)</f>
        <v>1088</v>
      </c>
      <c r="F50" s="1326"/>
      <c r="G50" s="1326"/>
      <c r="I50" s="1326">
        <f>SUM(I48:I49)</f>
        <v>1124</v>
      </c>
      <c r="K50" s="1183"/>
      <c r="M50" s="1183"/>
    </row>
    <row r="51" spans="1:15" s="40" customFormat="1" x14ac:dyDescent="0.2">
      <c r="A51" s="38" t="s">
        <v>2156</v>
      </c>
      <c r="B51" s="39"/>
      <c r="C51" s="1036"/>
      <c r="E51" s="1036"/>
      <c r="G51" s="1036"/>
      <c r="I51" s="1036"/>
    </row>
    <row r="52" spans="1:15" s="40" customFormat="1" x14ac:dyDescent="0.2">
      <c r="A52" s="41" t="s">
        <v>2005</v>
      </c>
      <c r="B52" s="39"/>
      <c r="C52" s="1147">
        <v>0.85699999999999998</v>
      </c>
      <c r="D52" s="399"/>
      <c r="E52" s="1147">
        <v>0.871</v>
      </c>
      <c r="F52" s="63"/>
      <c r="G52" s="1147"/>
      <c r="I52" s="1147"/>
      <c r="K52" s="101"/>
      <c r="M52" s="101"/>
    </row>
    <row r="53" spans="1:15" s="40" customFormat="1" x14ac:dyDescent="0.2">
      <c r="A53" s="41" t="s">
        <v>2006</v>
      </c>
      <c r="B53" s="39"/>
      <c r="C53" s="1147">
        <v>0.69299999999999995</v>
      </c>
      <c r="D53" s="399"/>
      <c r="E53" s="1147">
        <v>0.71499999999999997</v>
      </c>
      <c r="F53" s="63"/>
      <c r="G53" s="1147"/>
      <c r="I53" s="1147"/>
      <c r="K53" s="101"/>
      <c r="M53" s="101"/>
    </row>
    <row r="54" spans="1:15" s="40" customFormat="1" x14ac:dyDescent="0.2">
      <c r="A54" s="38" t="s">
        <v>2007</v>
      </c>
      <c r="B54" s="39"/>
      <c r="E54" s="1036"/>
    </row>
    <row r="55" spans="1:15" s="40" customFormat="1" x14ac:dyDescent="0.2">
      <c r="A55" s="41" t="s">
        <v>2157</v>
      </c>
      <c r="B55" s="39"/>
      <c r="C55" s="581">
        <v>30409</v>
      </c>
      <c r="D55" s="581"/>
      <c r="E55" s="580">
        <v>30889</v>
      </c>
      <c r="F55" s="581"/>
      <c r="G55" s="581"/>
      <c r="I55" s="581">
        <v>31444</v>
      </c>
      <c r="K55" s="582"/>
      <c r="M55" s="582"/>
    </row>
    <row r="56" spans="1:15" s="40" customFormat="1" x14ac:dyDescent="0.2">
      <c r="A56" s="41" t="s">
        <v>2158</v>
      </c>
      <c r="B56" s="39"/>
      <c r="C56" s="581">
        <v>8269</v>
      </c>
      <c r="D56" s="581"/>
      <c r="E56" s="580">
        <v>8435</v>
      </c>
      <c r="F56" s="581"/>
      <c r="G56" s="581"/>
      <c r="I56" s="581">
        <v>8646</v>
      </c>
      <c r="K56" s="582"/>
      <c r="M56" s="582"/>
    </row>
    <row r="57" spans="1:15" s="40" customFormat="1" x14ac:dyDescent="0.2">
      <c r="A57" s="41" t="s">
        <v>2159</v>
      </c>
      <c r="B57" s="39"/>
      <c r="C57" s="581">
        <v>14921</v>
      </c>
      <c r="D57" s="581"/>
      <c r="E57" s="580">
        <v>15219</v>
      </c>
      <c r="F57" s="581"/>
      <c r="G57" s="581"/>
      <c r="I57" s="581">
        <v>15599</v>
      </c>
      <c r="K57" s="582"/>
      <c r="M57" s="582"/>
    </row>
    <row r="58" spans="1:15" s="40" customFormat="1" x14ac:dyDescent="0.2">
      <c r="A58" s="41" t="s">
        <v>2011</v>
      </c>
      <c r="B58" s="39"/>
      <c r="C58" s="581">
        <v>4551</v>
      </c>
      <c r="D58" s="581"/>
      <c r="E58" s="580">
        <v>4642</v>
      </c>
      <c r="F58" s="581"/>
      <c r="G58" s="581"/>
      <c r="I58" s="581">
        <v>4757</v>
      </c>
      <c r="K58" s="582"/>
      <c r="M58" s="582"/>
    </row>
    <row r="59" spans="1:15" s="40" customFormat="1" x14ac:dyDescent="0.2">
      <c r="A59" s="90"/>
      <c r="B59" s="39"/>
      <c r="C59" s="581"/>
      <c r="D59" s="581"/>
      <c r="E59" s="1327"/>
      <c r="F59" s="581"/>
      <c r="G59" s="581"/>
      <c r="I59" s="581"/>
    </row>
    <row r="60" spans="1:15" s="37" customFormat="1" x14ac:dyDescent="0.2">
      <c r="A60" s="35" t="s">
        <v>517</v>
      </c>
      <c r="B60" s="36"/>
      <c r="E60" s="87"/>
    </row>
    <row r="61" spans="1:15" s="37" customFormat="1" x14ac:dyDescent="0.2">
      <c r="A61" s="35" t="s">
        <v>1968</v>
      </c>
      <c r="B61" s="36"/>
      <c r="C61" s="108"/>
    </row>
    <row r="62" spans="1:15" s="40" customFormat="1" x14ac:dyDescent="0.2">
      <c r="A62" s="38" t="s">
        <v>2097</v>
      </c>
      <c r="B62" s="39"/>
      <c r="E62" s="63"/>
    </row>
    <row r="63" spans="1:15" s="40" customFormat="1" x14ac:dyDescent="0.2">
      <c r="A63" s="41" t="s">
        <v>1298</v>
      </c>
      <c r="B63" s="39"/>
      <c r="C63" s="581">
        <v>66323864</v>
      </c>
      <c r="E63" s="1327">
        <v>69578810</v>
      </c>
      <c r="G63" s="1327"/>
      <c r="I63" s="1327">
        <v>72361962</v>
      </c>
      <c r="K63" s="582"/>
      <c r="M63" s="917"/>
    </row>
    <row r="64" spans="1:15" s="40" customFormat="1" x14ac:dyDescent="0.2">
      <c r="A64" s="41" t="s">
        <v>2098</v>
      </c>
      <c r="B64" s="39"/>
      <c r="C64" s="581">
        <v>1411754</v>
      </c>
      <c r="E64" s="1327">
        <v>1700079</v>
      </c>
      <c r="G64" s="1327"/>
      <c r="I64" s="1327">
        <v>1768082</v>
      </c>
      <c r="K64" s="582"/>
      <c r="M64" s="917"/>
    </row>
    <row r="65" spans="1:17" s="40" customFormat="1" x14ac:dyDescent="0.2">
      <c r="A65" s="41" t="s">
        <v>2019</v>
      </c>
      <c r="B65" s="39"/>
      <c r="C65" s="581">
        <v>6881607</v>
      </c>
      <c r="E65" s="1327">
        <v>8228395</v>
      </c>
      <c r="G65" s="1327"/>
      <c r="I65" s="1327">
        <v>8557531</v>
      </c>
      <c r="K65" s="582"/>
      <c r="M65" s="917"/>
    </row>
    <row r="66" spans="1:17" s="40" customFormat="1" x14ac:dyDescent="0.2">
      <c r="A66" s="41" t="s">
        <v>2020</v>
      </c>
      <c r="B66" s="39"/>
      <c r="C66" s="581">
        <v>9593183</v>
      </c>
      <c r="E66" s="1327">
        <v>11226646</v>
      </c>
      <c r="G66" s="1327"/>
      <c r="I66" s="1327">
        <v>11675712</v>
      </c>
      <c r="K66" s="582"/>
      <c r="M66" s="917"/>
    </row>
    <row r="67" spans="1:17" s="40" customFormat="1" x14ac:dyDescent="0.2">
      <c r="A67" s="41" t="s">
        <v>2021</v>
      </c>
      <c r="B67" s="39"/>
      <c r="C67" s="581">
        <v>20220414</v>
      </c>
      <c r="E67" s="1327">
        <v>22452847</v>
      </c>
      <c r="G67" s="1327"/>
      <c r="I67" s="1327">
        <v>23350961</v>
      </c>
      <c r="K67" s="582"/>
      <c r="M67" s="917"/>
    </row>
    <row r="68" spans="1:17" s="40" customFormat="1" x14ac:dyDescent="0.2">
      <c r="A68" s="41" t="s">
        <v>2022</v>
      </c>
      <c r="B68" s="39"/>
      <c r="C68" s="581">
        <v>30269128</v>
      </c>
      <c r="E68" s="1327">
        <v>30062539</v>
      </c>
      <c r="G68" s="1327"/>
      <c r="I68" s="1327">
        <v>31265041</v>
      </c>
      <c r="K68" s="582"/>
      <c r="M68" s="917"/>
    </row>
    <row r="69" spans="1:17" s="40" customFormat="1" x14ac:dyDescent="0.2">
      <c r="A69" s="41" t="s">
        <v>2023</v>
      </c>
      <c r="B69" s="39"/>
      <c r="C69" s="581">
        <v>24313933</v>
      </c>
      <c r="E69" s="1327">
        <v>25919748</v>
      </c>
      <c r="G69" s="1327"/>
      <c r="I69" s="1327">
        <v>26956538</v>
      </c>
      <c r="K69" s="582"/>
      <c r="M69" s="917"/>
    </row>
    <row r="70" spans="1:17" s="40" customFormat="1" x14ac:dyDescent="0.2">
      <c r="A70" s="90"/>
      <c r="B70" s="39"/>
      <c r="E70" s="63"/>
      <c r="G70" s="63"/>
      <c r="I70" s="63"/>
    </row>
    <row r="71" spans="1:17" s="37" customFormat="1" x14ac:dyDescent="0.2">
      <c r="A71" s="35" t="s">
        <v>194</v>
      </c>
      <c r="B71" s="36"/>
      <c r="E71" s="87"/>
      <c r="G71" s="87"/>
      <c r="I71" s="87"/>
    </row>
    <row r="72" spans="1:17" s="37" customFormat="1" x14ac:dyDescent="0.2">
      <c r="A72" s="35" t="s">
        <v>195</v>
      </c>
      <c r="B72" s="36"/>
      <c r="E72" s="87"/>
      <c r="G72" s="87"/>
      <c r="I72" s="87"/>
    </row>
    <row r="73" spans="1:17" s="40" customFormat="1" x14ac:dyDescent="0.2">
      <c r="A73" s="1044" t="s">
        <v>2137</v>
      </c>
      <c r="B73" s="39"/>
      <c r="C73" s="76">
        <v>764</v>
      </c>
      <c r="D73" s="77"/>
      <c r="E73" s="76">
        <v>764</v>
      </c>
      <c r="F73" s="77"/>
      <c r="G73" s="76">
        <v>764</v>
      </c>
      <c r="I73" s="76">
        <f>932+137</f>
        <v>1069</v>
      </c>
      <c r="K73" s="76">
        <v>764</v>
      </c>
      <c r="M73" s="76"/>
    </row>
    <row r="74" spans="1:17" s="48" customFormat="1" x14ac:dyDescent="0.2">
      <c r="A74" s="46"/>
      <c r="B74" s="47"/>
      <c r="M74" s="280"/>
      <c r="N74" s="280"/>
    </row>
    <row r="75" spans="1:17" s="48" customFormat="1" x14ac:dyDescent="0.2">
      <c r="A75" s="69" t="s">
        <v>200</v>
      </c>
      <c r="B75" s="50"/>
      <c r="C75" s="65"/>
      <c r="D75" s="463"/>
      <c r="E75" s="417"/>
      <c r="F75" s="463"/>
      <c r="G75" s="417"/>
      <c r="H75" s="463"/>
      <c r="I75" s="417"/>
      <c r="J75" s="463"/>
      <c r="K75" s="78"/>
      <c r="L75" s="463"/>
      <c r="M75" s="65"/>
      <c r="N75" s="463"/>
    </row>
    <row r="76" spans="1:17" ht="15.75" customHeight="1" x14ac:dyDescent="0.2">
      <c r="A76" s="1738" t="s">
        <v>2209</v>
      </c>
      <c r="B76" s="1738"/>
      <c r="C76" s="1738"/>
      <c r="D76" s="1738"/>
      <c r="E76" s="1738"/>
      <c r="F76" s="1738"/>
      <c r="G76" s="1738"/>
      <c r="H76" s="1738"/>
      <c r="I76" s="1738"/>
      <c r="J76" s="1738"/>
      <c r="K76" s="1738"/>
      <c r="L76" s="1738"/>
      <c r="M76" s="1738"/>
      <c r="N76" s="1738"/>
      <c r="O76" s="54"/>
      <c r="P76" s="54"/>
      <c r="Q76" s="951"/>
    </row>
    <row r="77" spans="1:17" ht="15.75" customHeight="1" x14ac:dyDescent="0.2">
      <c r="A77" s="1738" t="s">
        <v>2210</v>
      </c>
      <c r="B77" s="1738"/>
      <c r="C77" s="1738"/>
      <c r="D77" s="1738"/>
      <c r="E77" s="1738"/>
      <c r="F77" s="1738"/>
      <c r="G77" s="1738"/>
      <c r="H77" s="1738"/>
      <c r="I77" s="1738"/>
      <c r="J77" s="1738"/>
      <c r="K77" s="1738"/>
      <c r="L77" s="1738"/>
      <c r="M77" s="1738"/>
      <c r="N77" s="1738"/>
      <c r="O77" s="54"/>
      <c r="P77" s="54"/>
    </row>
    <row r="78" spans="1:17" ht="17.25" customHeight="1" x14ac:dyDescent="0.2">
      <c r="A78" s="1738" t="s">
        <v>2164</v>
      </c>
      <c r="B78" s="1738"/>
      <c r="C78" s="1738"/>
      <c r="D78" s="1738"/>
      <c r="E78" s="1738"/>
      <c r="F78" s="1738"/>
      <c r="G78" s="1738"/>
      <c r="H78" s="1738"/>
      <c r="I78" s="1738"/>
      <c r="J78" s="1738"/>
      <c r="K78" s="1738"/>
      <c r="L78" s="1738"/>
      <c r="M78" s="1738"/>
      <c r="N78" s="1738"/>
      <c r="O78" s="54"/>
      <c r="P78" s="54"/>
    </row>
    <row r="79" spans="1:17" ht="19.5" customHeight="1" x14ac:dyDescent="0.2">
      <c r="A79" s="1738" t="s">
        <v>2165</v>
      </c>
      <c r="B79" s="1738"/>
      <c r="C79" s="1738"/>
      <c r="D79" s="1738"/>
      <c r="E79" s="1738"/>
      <c r="F79" s="1738"/>
      <c r="G79" s="1738"/>
      <c r="H79" s="1738"/>
      <c r="I79" s="1738"/>
      <c r="J79" s="1738"/>
      <c r="K79" s="1738"/>
      <c r="L79" s="1738"/>
      <c r="M79" s="1738"/>
      <c r="N79" s="1738"/>
      <c r="O79" s="54"/>
      <c r="P79" s="54"/>
    </row>
    <row r="80" spans="1:17" ht="27.75" customHeight="1" x14ac:dyDescent="0.2">
      <c r="A80" s="1738"/>
      <c r="B80" s="1738"/>
      <c r="C80" s="1738"/>
      <c r="D80" s="1738"/>
      <c r="E80" s="1738"/>
      <c r="F80" s="1738"/>
      <c r="G80" s="1738"/>
      <c r="H80" s="1738"/>
      <c r="I80" s="1738"/>
      <c r="J80" s="1738"/>
      <c r="K80" s="1738"/>
      <c r="L80" s="1738"/>
      <c r="M80" s="1738"/>
      <c r="N80" s="1738"/>
      <c r="O80" s="54"/>
      <c r="P80" s="54"/>
    </row>
    <row r="81" spans="1:17" ht="27.75" customHeight="1" x14ac:dyDescent="0.2">
      <c r="A81" s="1735"/>
      <c r="B81" s="1735"/>
      <c r="C81" s="1735"/>
      <c r="D81" s="1735"/>
      <c r="E81" s="1735"/>
      <c r="F81" s="1735"/>
      <c r="G81" s="1735"/>
      <c r="H81" s="1735"/>
      <c r="I81" s="1735"/>
      <c r="J81" s="1735"/>
      <c r="K81" s="1735"/>
      <c r="L81" s="1735"/>
      <c r="M81" s="1735"/>
      <c r="N81" s="1735"/>
      <c r="O81" s="54"/>
      <c r="P81" s="54"/>
    </row>
    <row r="82" spans="1:17" ht="27.75" customHeight="1" x14ac:dyDescent="0.2">
      <c r="A82" s="1735"/>
      <c r="B82" s="1735"/>
      <c r="C82" s="1735"/>
      <c r="D82" s="1735"/>
      <c r="E82" s="1735"/>
      <c r="F82" s="1735"/>
      <c r="G82" s="1735"/>
      <c r="H82" s="1735"/>
      <c r="I82" s="1735"/>
      <c r="J82" s="1735"/>
      <c r="K82" s="1735"/>
      <c r="L82" s="1735"/>
      <c r="M82" s="1735"/>
      <c r="N82" s="1735"/>
      <c r="O82" s="54"/>
      <c r="P82" s="54"/>
    </row>
    <row r="83" spans="1:17" ht="27.75" customHeight="1" x14ac:dyDescent="0.2">
      <c r="A83" s="55"/>
      <c r="B83" s="54"/>
      <c r="C83" s="56"/>
      <c r="D83" s="54"/>
      <c r="E83" s="56"/>
      <c r="F83" s="54"/>
      <c r="G83" s="56"/>
      <c r="H83" s="54"/>
      <c r="I83" s="56"/>
      <c r="J83" s="54"/>
      <c r="K83" s="991"/>
      <c r="L83" s="54"/>
      <c r="M83" s="56"/>
      <c r="N83" s="54"/>
      <c r="O83" s="54"/>
      <c r="P83" s="54"/>
    </row>
    <row r="84" spans="1:17" ht="27.75" customHeight="1" x14ac:dyDescent="0.2">
      <c r="A84" s="55"/>
      <c r="B84" s="54"/>
      <c r="C84" s="54"/>
      <c r="D84" s="54"/>
      <c r="E84" s="54"/>
      <c r="F84" s="54"/>
      <c r="G84" s="54"/>
      <c r="H84" s="54"/>
      <c r="I84" s="54"/>
      <c r="J84" s="54"/>
      <c r="K84" s="991"/>
      <c r="L84" s="54"/>
      <c r="M84" s="54"/>
      <c r="N84" s="54"/>
      <c r="O84" s="54"/>
      <c r="P84" s="54"/>
    </row>
    <row r="85" spans="1:17" ht="27.75" customHeight="1" x14ac:dyDescent="0.2">
      <c r="A85" s="55"/>
      <c r="B85" s="54"/>
      <c r="C85" s="56"/>
      <c r="D85" s="54"/>
      <c r="E85" s="56"/>
      <c r="F85" s="54"/>
      <c r="G85" s="56"/>
      <c r="H85" s="54"/>
      <c r="I85" s="56"/>
      <c r="J85" s="54"/>
      <c r="K85" s="991"/>
      <c r="L85" s="54"/>
      <c r="M85" s="56"/>
      <c r="N85" s="54"/>
      <c r="O85" s="54"/>
      <c r="P85" s="54"/>
    </row>
    <row r="86" spans="1:17" x14ac:dyDescent="0.2">
      <c r="A86" s="55"/>
      <c r="B86" s="54"/>
      <c r="C86" s="54"/>
      <c r="D86" s="54"/>
      <c r="E86" s="54"/>
      <c r="F86" s="54"/>
      <c r="G86" s="54"/>
      <c r="H86" s="54"/>
      <c r="I86" s="54"/>
      <c r="J86" s="54"/>
      <c r="K86" s="991"/>
      <c r="L86" s="54"/>
      <c r="M86" s="54"/>
      <c r="N86" s="54"/>
      <c r="O86" s="54"/>
      <c r="P86" s="54"/>
    </row>
    <row r="87" spans="1:17" x14ac:dyDescent="0.2">
      <c r="A87" s="55"/>
      <c r="B87" s="54"/>
      <c r="C87" s="56"/>
      <c r="D87" s="54"/>
      <c r="E87" s="56"/>
      <c r="F87" s="54"/>
      <c r="G87" s="56"/>
      <c r="H87" s="54"/>
      <c r="I87" s="56"/>
      <c r="J87" s="54"/>
      <c r="K87" s="991"/>
      <c r="L87" s="54"/>
      <c r="M87" s="56"/>
      <c r="N87" s="54"/>
      <c r="O87" s="54"/>
      <c r="P87" s="54"/>
    </row>
    <row r="88" spans="1:17" x14ac:dyDescent="0.2">
      <c r="A88" s="55"/>
      <c r="B88" s="54"/>
      <c r="C88" s="54"/>
      <c r="D88" s="54"/>
      <c r="E88" s="54"/>
      <c r="F88" s="54"/>
      <c r="G88" s="54"/>
      <c r="H88" s="54"/>
      <c r="I88" s="54"/>
      <c r="J88" s="54"/>
      <c r="K88" s="991"/>
      <c r="L88" s="54"/>
      <c r="M88" s="54"/>
      <c r="N88" s="54"/>
      <c r="O88" s="54"/>
      <c r="P88" s="54"/>
    </row>
    <row r="89" spans="1:17" x14ac:dyDescent="0.2">
      <c r="A89" s="55"/>
      <c r="B89" s="54"/>
      <c r="C89" s="54"/>
      <c r="D89" s="54"/>
      <c r="E89" s="54"/>
      <c r="F89" s="54"/>
      <c r="G89" s="54"/>
      <c r="H89" s="54"/>
      <c r="I89" s="54"/>
      <c r="J89" s="54"/>
      <c r="K89" s="991"/>
      <c r="L89" s="54"/>
      <c r="M89" s="54"/>
      <c r="N89" s="54"/>
      <c r="O89" s="54"/>
      <c r="P89" s="54"/>
    </row>
    <row r="90" spans="1:17" x14ac:dyDescent="0.2">
      <c r="A90" s="55"/>
      <c r="B90" s="54"/>
      <c r="C90" s="54"/>
      <c r="D90" s="54"/>
      <c r="E90" s="54"/>
      <c r="F90" s="54"/>
      <c r="G90" s="54"/>
      <c r="H90" s="54"/>
      <c r="I90" s="54"/>
      <c r="J90" s="54"/>
      <c r="K90" s="991"/>
      <c r="L90" s="54"/>
      <c r="M90" s="54"/>
      <c r="N90" s="54"/>
      <c r="O90" s="54"/>
      <c r="P90" s="54"/>
    </row>
    <row r="91" spans="1:17" x14ac:dyDescent="0.2">
      <c r="B91" s="25"/>
      <c r="C91" s="25"/>
      <c r="D91" s="25"/>
      <c r="E91" s="58"/>
      <c r="F91" s="58"/>
      <c r="G91" s="58"/>
      <c r="H91" s="58"/>
      <c r="O91" s="54"/>
      <c r="P91" s="54"/>
    </row>
    <row r="92" spans="1:17" x14ac:dyDescent="0.2">
      <c r="B92" s="25"/>
      <c r="C92" s="25"/>
      <c r="D92" s="25"/>
      <c r="E92" s="58"/>
      <c r="F92" s="58"/>
      <c r="G92" s="58"/>
      <c r="H92" s="58"/>
      <c r="O92" s="54"/>
      <c r="P92" s="54"/>
    </row>
    <row r="93" spans="1:17" x14ac:dyDescent="0.2">
      <c r="B93" s="25"/>
      <c r="C93" s="25"/>
      <c r="D93" s="25"/>
      <c r="E93" s="58"/>
      <c r="F93" s="58"/>
      <c r="G93" s="58"/>
      <c r="H93" s="58"/>
      <c r="O93" s="54"/>
      <c r="P93" s="54"/>
      <c r="Q93" s="57"/>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c r="C118" s="25"/>
      <c r="D118" s="25"/>
      <c r="E118" s="58"/>
      <c r="F118" s="58"/>
      <c r="G118" s="58"/>
      <c r="H118" s="58"/>
    </row>
    <row r="119" spans="2:8" x14ac:dyDescent="0.2">
      <c r="B119" s="25"/>
      <c r="C119" s="25"/>
      <c r="D119" s="25"/>
      <c r="E119" s="58"/>
      <c r="F119" s="58"/>
      <c r="G119" s="58"/>
      <c r="H119" s="58"/>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sheetData>
  <mergeCells count="8">
    <mergeCell ref="A82:N82"/>
    <mergeCell ref="K2:K3"/>
    <mergeCell ref="A76:N76"/>
    <mergeCell ref="A77:N77"/>
    <mergeCell ref="A78:N78"/>
    <mergeCell ref="A79:N79"/>
    <mergeCell ref="A80:N80"/>
    <mergeCell ref="A81:N81"/>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rintOptions horizontalCentered="1" verticalCentered="1"/>
  <pageMargins left="0.7" right="0.7" top="0.5" bottom="0.25" header="0.5" footer="0.5"/>
  <pageSetup scale="65" fitToHeight="99" pageOrder="overThenDown" orientation="portrait" blackAndWhite="1"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6"/>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572" customWidth="1"/>
    <col min="2" max="2" width="7.28515625" style="1573" customWidth="1"/>
    <col min="3" max="3" width="13.7109375" style="1601" customWidth="1"/>
    <col min="4" max="4" width="3" style="1601" customWidth="1"/>
    <col min="5" max="5" width="13.7109375" style="1600" customWidth="1"/>
    <col min="6" max="6" width="2.85546875" style="1602" customWidth="1"/>
    <col min="7" max="7" width="13.7109375" style="1600" hidden="1" customWidth="1"/>
    <col min="8" max="8" width="3.140625" style="1602" hidden="1" customWidth="1"/>
    <col min="9" max="9" width="13.7109375" style="1600" customWidth="1"/>
    <col min="10" max="10" width="3.140625" style="1602" customWidth="1"/>
    <col min="11" max="11" width="10.7109375" style="1687" customWidth="1"/>
    <col min="12" max="12" width="3.140625" style="1602" bestFit="1" customWidth="1"/>
    <col min="13" max="13" width="13.7109375" style="1600" hidden="1" customWidth="1"/>
    <col min="14" max="14" width="3.140625" style="1602" hidden="1" customWidth="1"/>
    <col min="15" max="15" width="13.7109375" style="1600" customWidth="1"/>
    <col min="16" max="16" width="2.85546875" style="1602" customWidth="1"/>
    <col min="17" max="17" width="3.42578125" style="1576" customWidth="1"/>
    <col min="18" max="16384" width="9.140625" style="1576"/>
  </cols>
  <sheetData>
    <row r="1" spans="1:16" s="1551" customFormat="1" ht="15.75" x14ac:dyDescent="0.2">
      <c r="A1" s="1548" t="s">
        <v>174</v>
      </c>
      <c r="B1" s="1328">
        <v>2019</v>
      </c>
      <c r="C1" s="1329"/>
      <c r="D1" s="1330"/>
      <c r="E1" s="1329"/>
      <c r="F1" s="1330"/>
      <c r="G1" s="1331"/>
      <c r="H1" s="1330"/>
      <c r="I1" s="1332"/>
      <c r="J1" s="1333"/>
      <c r="K1" s="1332"/>
      <c r="L1" s="1333"/>
      <c r="M1" s="1672"/>
      <c r="N1" s="1673"/>
    </row>
    <row r="2" spans="1:16" s="1551" customFormat="1" ht="15.75" x14ac:dyDescent="0.25">
      <c r="A2" s="1548" t="s">
        <v>175</v>
      </c>
      <c r="B2" s="1334" t="s">
        <v>176</v>
      </c>
      <c r="C2" s="1339" t="s">
        <v>0</v>
      </c>
      <c r="D2" s="1335"/>
      <c r="E2" s="1336"/>
      <c r="F2" s="1337"/>
      <c r="G2" s="1336"/>
      <c r="H2" s="1335"/>
      <c r="I2" s="1338"/>
      <c r="J2" s="1333"/>
      <c r="K2" s="1733" t="s">
        <v>171</v>
      </c>
      <c r="L2" s="1333"/>
      <c r="M2" s="1674"/>
      <c r="N2" s="1673"/>
    </row>
    <row r="3" spans="1:16" s="1551" customFormat="1" ht="15.75" x14ac:dyDescent="0.25">
      <c r="A3" s="1548" t="s">
        <v>177</v>
      </c>
      <c r="B3" s="1339">
        <v>74</v>
      </c>
      <c r="C3" s="1339" t="s">
        <v>2211</v>
      </c>
      <c r="D3" s="1335"/>
      <c r="E3" s="1340"/>
      <c r="F3" s="1337"/>
      <c r="G3" s="1340"/>
      <c r="H3" s="1335"/>
      <c r="I3" s="1341"/>
      <c r="J3" s="1333"/>
      <c r="K3" s="1734"/>
      <c r="L3" s="1333"/>
      <c r="M3" s="1675"/>
      <c r="N3" s="1673"/>
    </row>
    <row r="4" spans="1:16" s="1551" customFormat="1" ht="15.75" x14ac:dyDescent="0.25">
      <c r="A4" s="1548" t="s">
        <v>180</v>
      </c>
      <c r="B4" s="1339">
        <v>36</v>
      </c>
      <c r="C4" s="1339" t="s">
        <v>46</v>
      </c>
      <c r="D4" s="1335"/>
      <c r="E4" s="1340"/>
      <c r="F4" s="1337"/>
      <c r="G4" s="1340"/>
      <c r="H4" s="1335"/>
      <c r="I4" s="1341"/>
      <c r="J4" s="1333"/>
      <c r="K4" s="1341"/>
      <c r="L4" s="1333"/>
      <c r="M4" s="1675"/>
      <c r="N4" s="1673"/>
    </row>
    <row r="5" spans="1:16" s="1551" customFormat="1" ht="15.75" x14ac:dyDescent="0.2">
      <c r="A5" s="1548" t="s">
        <v>183</v>
      </c>
      <c r="B5" s="1342">
        <v>2485</v>
      </c>
      <c r="C5" s="1342" t="s">
        <v>52</v>
      </c>
      <c r="D5" s="1343"/>
      <c r="E5" s="1344"/>
      <c r="F5" s="1330"/>
      <c r="G5" s="1344"/>
      <c r="H5" s="1330"/>
      <c r="I5" s="1345"/>
      <c r="J5" s="1346"/>
      <c r="K5" s="1345"/>
      <c r="L5" s="1346"/>
      <c r="M5" s="1676"/>
      <c r="N5" s="1677"/>
    </row>
    <row r="6" spans="1:16" s="1551" customFormat="1" ht="15.75" x14ac:dyDescent="0.25">
      <c r="A6" s="1562" t="s">
        <v>186</v>
      </c>
      <c r="B6" s="1347">
        <v>4</v>
      </c>
      <c r="C6" s="1348"/>
      <c r="D6" s="1349"/>
      <c r="E6" s="1350"/>
      <c r="F6" s="1337"/>
      <c r="G6" s="1351"/>
      <c r="H6" s="1335"/>
      <c r="I6" s="1352"/>
      <c r="J6" s="1333"/>
      <c r="K6" s="1352"/>
      <c r="L6" s="1333"/>
      <c r="M6" s="1674"/>
      <c r="N6" s="1673"/>
    </row>
    <row r="7" spans="1:16" s="1571" customFormat="1" x14ac:dyDescent="0.2">
      <c r="A7" s="1678"/>
      <c r="B7" s="1353"/>
      <c r="C7" s="1354"/>
      <c r="D7" s="1355"/>
      <c r="E7" s="1354"/>
      <c r="F7" s="1355"/>
      <c r="G7" s="1354"/>
      <c r="H7" s="1355"/>
      <c r="I7" s="1356"/>
      <c r="J7" s="1357"/>
      <c r="K7" s="1356" t="s">
        <v>187</v>
      </c>
      <c r="L7" s="1357"/>
      <c r="M7" s="1356" t="s">
        <v>187</v>
      </c>
      <c r="N7" s="1357"/>
    </row>
    <row r="8" spans="1:16" x14ac:dyDescent="0.2">
      <c r="A8" s="1679"/>
      <c r="B8" s="1358"/>
      <c r="C8" s="1359" t="s">
        <v>188</v>
      </c>
      <c r="D8" s="1360" t="s">
        <v>189</v>
      </c>
      <c r="E8" s="1359" t="s">
        <v>188</v>
      </c>
      <c r="F8" s="1360" t="s">
        <v>189</v>
      </c>
      <c r="G8" s="1359" t="s">
        <v>190</v>
      </c>
      <c r="H8" s="1360" t="s">
        <v>189</v>
      </c>
      <c r="I8" s="1361" t="s">
        <v>191</v>
      </c>
      <c r="J8" s="1362" t="s">
        <v>189</v>
      </c>
      <c r="K8" s="1361" t="s">
        <v>192</v>
      </c>
      <c r="L8" s="1362" t="s">
        <v>189</v>
      </c>
      <c r="M8" s="1361" t="s">
        <v>192</v>
      </c>
      <c r="N8" s="1362" t="s">
        <v>189</v>
      </c>
      <c r="O8" s="1576"/>
      <c r="P8" s="1576"/>
    </row>
    <row r="9" spans="1:16" s="1571" customFormat="1" ht="14.25" x14ac:dyDescent="0.2">
      <c r="A9" s="1680"/>
      <c r="B9" s="1363"/>
      <c r="C9" s="1364" t="str">
        <f>"FY " &amp; FiscalYear - 3</f>
        <v>FY 2016</v>
      </c>
      <c r="D9" s="1365" t="s">
        <v>193</v>
      </c>
      <c r="E9" s="1364" t="str">
        <f>"FY " &amp; FiscalYear - 2</f>
        <v>FY 2017</v>
      </c>
      <c r="F9" s="1365" t="s">
        <v>193</v>
      </c>
      <c r="G9" s="1364" t="str">
        <f>"FY " &amp; FiscalYear - 1</f>
        <v>FY 2018</v>
      </c>
      <c r="H9" s="1365" t="s">
        <v>193</v>
      </c>
      <c r="I9" s="1364" t="str">
        <f>"FY " &amp; FiscalYear - 1</f>
        <v>FY 2018</v>
      </c>
      <c r="J9" s="1366" t="s">
        <v>193</v>
      </c>
      <c r="K9" s="1364" t="str">
        <f>"FY " &amp; FiscalYear</f>
        <v>FY 2019</v>
      </c>
      <c r="L9" s="1366" t="s">
        <v>193</v>
      </c>
      <c r="M9" s="1367" t="str">
        <f>"FY " &amp; FiscalYear + 1</f>
        <v>FY 2020</v>
      </c>
      <c r="N9" s="1366" t="s">
        <v>193</v>
      </c>
    </row>
    <row r="10" spans="1:16" s="1584" customFormat="1" x14ac:dyDescent="0.2">
      <c r="A10" s="1582" t="s">
        <v>222</v>
      </c>
      <c r="B10" s="1583"/>
      <c r="C10" s="1619"/>
      <c r="D10" s="1619"/>
    </row>
    <row r="11" spans="1:16" s="1584" customFormat="1" x14ac:dyDescent="0.2">
      <c r="A11" s="139" t="s">
        <v>52</v>
      </c>
      <c r="B11" s="145"/>
      <c r="C11" s="1619"/>
      <c r="D11" s="1619"/>
    </row>
    <row r="12" spans="1:16" s="1588" customFormat="1" x14ac:dyDescent="0.2">
      <c r="A12" s="144" t="s">
        <v>2212</v>
      </c>
      <c r="B12" s="145"/>
      <c r="C12" s="392">
        <v>519</v>
      </c>
      <c r="D12" s="443"/>
      <c r="E12" s="414">
        <v>519</v>
      </c>
      <c r="G12" s="414">
        <v>519</v>
      </c>
      <c r="I12" s="414">
        <v>519</v>
      </c>
      <c r="K12" s="414">
        <v>519</v>
      </c>
      <c r="M12" s="1613"/>
    </row>
    <row r="13" spans="1:16" s="1588" customFormat="1" x14ac:dyDescent="0.2">
      <c r="A13" s="144" t="s">
        <v>2213</v>
      </c>
      <c r="B13" s="145"/>
      <c r="C13" s="392">
        <v>17138</v>
      </c>
      <c r="D13" s="443"/>
      <c r="E13" s="414">
        <v>17083</v>
      </c>
      <c r="G13" s="414">
        <v>17500</v>
      </c>
      <c r="I13" s="414">
        <v>17020</v>
      </c>
      <c r="K13" s="414">
        <v>17500</v>
      </c>
      <c r="M13" s="1613"/>
    </row>
    <row r="14" spans="1:16" s="1588" customFormat="1" x14ac:dyDescent="0.2">
      <c r="A14" s="144" t="s">
        <v>2214</v>
      </c>
      <c r="B14" s="145"/>
      <c r="C14" s="392">
        <v>47</v>
      </c>
      <c r="D14" s="443"/>
      <c r="E14" s="414">
        <v>47</v>
      </c>
      <c r="G14" s="414">
        <v>48</v>
      </c>
      <c r="I14" s="414">
        <v>47</v>
      </c>
      <c r="K14" s="414">
        <v>48</v>
      </c>
      <c r="M14" s="1613"/>
      <c r="O14" s="1617"/>
    </row>
    <row r="15" spans="1:16" s="1588" customFormat="1" x14ac:dyDescent="0.2">
      <c r="A15" s="144" t="s">
        <v>354</v>
      </c>
      <c r="B15" s="145"/>
      <c r="C15" s="392">
        <v>292</v>
      </c>
      <c r="D15" s="443"/>
      <c r="E15" s="414">
        <v>297</v>
      </c>
      <c r="G15" s="414">
        <v>297</v>
      </c>
      <c r="I15" s="414">
        <v>300</v>
      </c>
      <c r="K15" s="414">
        <v>288</v>
      </c>
      <c r="M15" s="1613"/>
      <c r="O15" s="1617"/>
    </row>
    <row r="16" spans="1:16" s="1588" customFormat="1" x14ac:dyDescent="0.2">
      <c r="A16" s="144" t="s">
        <v>2215</v>
      </c>
      <c r="B16" s="145"/>
      <c r="C16" s="392">
        <v>106929</v>
      </c>
      <c r="D16" s="443"/>
      <c r="E16" s="414">
        <v>109569</v>
      </c>
      <c r="G16" s="414">
        <v>108500</v>
      </c>
      <c r="I16" s="414">
        <v>109600</v>
      </c>
      <c r="K16" s="414">
        <v>105000</v>
      </c>
      <c r="M16" s="1613"/>
      <c r="O16" s="1617"/>
    </row>
    <row r="17" spans="1:16" s="1588" customFormat="1" x14ac:dyDescent="0.2">
      <c r="A17" s="144" t="s">
        <v>2216</v>
      </c>
      <c r="B17" s="145"/>
      <c r="C17" s="394">
        <f>C15/352</f>
        <v>0.82954545454545459</v>
      </c>
      <c r="D17" s="443"/>
      <c r="E17" s="1368">
        <f>E15/352</f>
        <v>0.84375</v>
      </c>
      <c r="G17" s="1368">
        <f>G15/352</f>
        <v>0.84375</v>
      </c>
      <c r="I17" s="1368">
        <f>I15/352</f>
        <v>0.85227272727272729</v>
      </c>
      <c r="K17" s="1368">
        <v>0.81820000000000004</v>
      </c>
      <c r="M17" s="1662"/>
      <c r="O17" s="1617"/>
    </row>
    <row r="18" spans="1:16" s="1588" customFormat="1" x14ac:dyDescent="0.2">
      <c r="A18" s="144" t="s">
        <v>2217</v>
      </c>
      <c r="B18" s="145"/>
      <c r="C18" s="1369">
        <v>6.2</v>
      </c>
      <c r="D18" s="443"/>
      <c r="E18" s="1370">
        <v>6.4</v>
      </c>
      <c r="G18" s="1370">
        <v>6.2</v>
      </c>
      <c r="I18" s="1370">
        <v>6.4</v>
      </c>
      <c r="K18" s="1370">
        <v>6</v>
      </c>
      <c r="M18" s="1681"/>
      <c r="O18" s="1617"/>
    </row>
    <row r="19" spans="1:16" s="1588" customFormat="1" x14ac:dyDescent="0.2">
      <c r="A19" s="144" t="s">
        <v>2218</v>
      </c>
      <c r="B19" s="145"/>
      <c r="C19" s="392">
        <v>263215</v>
      </c>
      <c r="D19" s="443"/>
      <c r="E19" s="414">
        <v>255826</v>
      </c>
      <c r="G19" s="414">
        <v>265900</v>
      </c>
      <c r="I19" s="414">
        <v>260000</v>
      </c>
      <c r="K19" s="414">
        <v>280000</v>
      </c>
      <c r="M19" s="1613"/>
      <c r="O19" s="1617"/>
    </row>
    <row r="20" spans="1:16" s="1588" customFormat="1" x14ac:dyDescent="0.2">
      <c r="A20" s="144" t="s">
        <v>2219</v>
      </c>
      <c r="B20" s="145"/>
      <c r="C20" s="392">
        <v>719</v>
      </c>
      <c r="D20" s="443"/>
      <c r="E20" s="414">
        <f>E19/365</f>
        <v>700.89315068493147</v>
      </c>
      <c r="G20" s="414">
        <v>728</v>
      </c>
      <c r="I20" s="414">
        <f>I19/365</f>
        <v>712.32876712328766</v>
      </c>
      <c r="K20" s="414">
        <v>767</v>
      </c>
      <c r="M20" s="1613"/>
      <c r="O20" s="1617"/>
    </row>
    <row r="21" spans="1:16" s="1588" customFormat="1" x14ac:dyDescent="0.2">
      <c r="A21" s="1651"/>
      <c r="B21" s="1586"/>
      <c r="C21" s="414"/>
      <c r="D21" s="443"/>
      <c r="E21" s="414"/>
      <c r="G21" s="414"/>
      <c r="I21" s="414"/>
      <c r="K21" s="414"/>
    </row>
    <row r="22" spans="1:16" s="1584" customFormat="1" x14ac:dyDescent="0.2">
      <c r="A22" s="1582" t="s">
        <v>194</v>
      </c>
      <c r="B22" s="1583"/>
      <c r="C22" s="414"/>
      <c r="D22" s="443"/>
      <c r="E22" s="414"/>
      <c r="G22" s="414"/>
      <c r="I22" s="414"/>
      <c r="K22" s="414"/>
    </row>
    <row r="23" spans="1:16" s="1584" customFormat="1" x14ac:dyDescent="0.2">
      <c r="A23" s="1582" t="s">
        <v>195</v>
      </c>
      <c r="B23" s="1583"/>
      <c r="C23" s="414"/>
      <c r="D23" s="443"/>
      <c r="E23" s="414"/>
      <c r="G23" s="414"/>
      <c r="I23" s="414"/>
      <c r="K23" s="414"/>
    </row>
    <row r="24" spans="1:16" s="1588" customFormat="1" x14ac:dyDescent="0.2">
      <c r="A24" s="144" t="s">
        <v>2030</v>
      </c>
      <c r="B24" s="145"/>
      <c r="C24" s="891">
        <v>2923</v>
      </c>
      <c r="D24" s="443"/>
      <c r="E24" s="414">
        <v>2923</v>
      </c>
      <c r="G24" s="414">
        <v>2923</v>
      </c>
      <c r="I24" s="414">
        <v>2923</v>
      </c>
      <c r="K24" s="414">
        <v>2923</v>
      </c>
      <c r="M24" s="1682"/>
    </row>
    <row r="25" spans="1:16" s="1591" customFormat="1" x14ac:dyDescent="0.2">
      <c r="A25" s="1589"/>
      <c r="B25" s="1590"/>
      <c r="M25" s="1683"/>
      <c r="N25" s="1683"/>
    </row>
    <row r="26" spans="1:16" s="1591" customFormat="1" x14ac:dyDescent="0.2">
      <c r="A26" s="1622" t="s">
        <v>200</v>
      </c>
      <c r="B26" s="1593"/>
      <c r="C26" s="1684"/>
      <c r="D26" s="1685"/>
      <c r="E26" s="1686"/>
      <c r="F26" s="1685"/>
      <c r="G26" s="1686"/>
      <c r="H26" s="1685"/>
      <c r="I26" s="1686"/>
      <c r="J26" s="1685"/>
      <c r="K26" s="1652"/>
      <c r="L26" s="1685"/>
      <c r="M26" s="1684"/>
      <c r="N26" s="1685"/>
    </row>
    <row r="27" spans="1:16" ht="27.75" customHeight="1" x14ac:dyDescent="0.2">
      <c r="A27" s="1821" t="s">
        <v>2220</v>
      </c>
      <c r="B27" s="1821"/>
      <c r="C27" s="1821"/>
      <c r="D27" s="1821"/>
      <c r="E27" s="1821"/>
      <c r="F27" s="1821"/>
      <c r="G27" s="1821"/>
      <c r="H27" s="1821"/>
      <c r="I27" s="1821"/>
      <c r="J27" s="1821"/>
      <c r="K27" s="1821"/>
      <c r="L27" s="1821"/>
      <c r="M27" s="1821"/>
      <c r="N27" s="1821"/>
      <c r="O27" s="54"/>
      <c r="P27" s="54"/>
    </row>
    <row r="28" spans="1:16" ht="45.75" customHeight="1" x14ac:dyDescent="0.2">
      <c r="A28" s="1821"/>
      <c r="B28" s="1821"/>
      <c r="C28" s="1821"/>
      <c r="D28" s="1821"/>
      <c r="E28" s="1821"/>
      <c r="F28" s="1821"/>
      <c r="G28" s="1821"/>
      <c r="H28" s="1821"/>
      <c r="I28" s="1821"/>
      <c r="J28" s="1821"/>
      <c r="K28" s="1821"/>
      <c r="L28" s="1821"/>
      <c r="M28" s="1821"/>
      <c r="N28" s="1821"/>
      <c r="O28" s="54"/>
      <c r="P28" s="54"/>
    </row>
    <row r="29" spans="1:16" ht="27.75" customHeight="1" x14ac:dyDescent="0.2">
      <c r="A29" s="1820"/>
      <c r="B29" s="1820"/>
      <c r="C29" s="1820"/>
      <c r="D29" s="1820"/>
      <c r="E29" s="1820"/>
      <c r="F29" s="1820"/>
      <c r="G29" s="1820"/>
      <c r="H29" s="1820"/>
      <c r="I29" s="1820"/>
      <c r="J29" s="1820"/>
      <c r="K29" s="1820"/>
      <c r="L29" s="1820"/>
      <c r="M29" s="1820"/>
      <c r="N29" s="1820"/>
      <c r="O29" s="54"/>
      <c r="P29" s="54"/>
    </row>
    <row r="30" spans="1:16" ht="27.75" customHeight="1" x14ac:dyDescent="0.2">
      <c r="A30" s="1597"/>
      <c r="B30" s="54"/>
      <c r="C30" s="56"/>
      <c r="D30" s="54"/>
      <c r="E30" s="56"/>
      <c r="F30" s="54"/>
      <c r="G30" s="56"/>
      <c r="H30" s="54"/>
      <c r="I30" s="56"/>
      <c r="J30" s="54"/>
      <c r="K30" s="991"/>
      <c r="L30" s="54"/>
      <c r="M30" s="56"/>
      <c r="N30" s="54"/>
      <c r="O30" s="54"/>
      <c r="P30" s="54"/>
    </row>
    <row r="31" spans="1:16" ht="27.75" customHeight="1" x14ac:dyDescent="0.2">
      <c r="A31" s="1597"/>
      <c r="B31" s="54"/>
      <c r="C31" s="54"/>
      <c r="D31" s="54"/>
      <c r="E31" s="54"/>
      <c r="F31" s="54"/>
      <c r="G31" s="54"/>
      <c r="H31" s="54"/>
      <c r="I31" s="54"/>
      <c r="J31" s="54"/>
      <c r="K31" s="991"/>
      <c r="L31" s="54"/>
      <c r="M31" s="54"/>
      <c r="N31" s="54"/>
      <c r="O31" s="54"/>
      <c r="P31" s="54"/>
    </row>
    <row r="32" spans="1:16" ht="27.75" customHeight="1" x14ac:dyDescent="0.2">
      <c r="A32" s="1597"/>
      <c r="B32" s="54"/>
      <c r="C32" s="56"/>
      <c r="D32" s="54"/>
      <c r="E32" s="56"/>
      <c r="F32" s="54"/>
      <c r="G32" s="56"/>
      <c r="H32" s="54"/>
      <c r="I32" s="56"/>
      <c r="J32" s="54"/>
      <c r="K32" s="991"/>
      <c r="L32" s="54"/>
      <c r="M32" s="56"/>
      <c r="N32" s="54"/>
      <c r="O32" s="54"/>
      <c r="P32" s="54"/>
    </row>
    <row r="33" spans="1:17" x14ac:dyDescent="0.2">
      <c r="A33" s="1597"/>
      <c r="B33" s="54"/>
      <c r="C33" s="54"/>
      <c r="D33" s="54"/>
      <c r="E33" s="54"/>
      <c r="F33" s="54"/>
      <c r="G33" s="54"/>
      <c r="H33" s="54"/>
      <c r="I33" s="54"/>
      <c r="J33" s="54"/>
      <c r="K33" s="991"/>
      <c r="L33" s="54"/>
      <c r="M33" s="54"/>
      <c r="N33" s="54"/>
      <c r="O33" s="54"/>
      <c r="P33" s="54"/>
    </row>
    <row r="34" spans="1:17" x14ac:dyDescent="0.2">
      <c r="A34" s="1597"/>
      <c r="B34" s="54"/>
      <c r="C34" s="56"/>
      <c r="D34" s="54"/>
      <c r="E34" s="56"/>
      <c r="F34" s="54"/>
      <c r="G34" s="56"/>
      <c r="H34" s="54"/>
      <c r="I34" s="56"/>
      <c r="J34" s="54"/>
      <c r="K34" s="991"/>
      <c r="L34" s="54"/>
      <c r="M34" s="56"/>
      <c r="N34" s="54"/>
      <c r="O34" s="54"/>
      <c r="P34" s="54"/>
    </row>
    <row r="35" spans="1:17" x14ac:dyDescent="0.2">
      <c r="A35" s="1597"/>
      <c r="B35" s="54"/>
      <c r="C35" s="54"/>
      <c r="D35" s="54"/>
      <c r="E35" s="54"/>
      <c r="F35" s="54"/>
      <c r="G35" s="54"/>
      <c r="H35" s="54"/>
      <c r="I35" s="54"/>
      <c r="J35" s="54"/>
      <c r="K35" s="991"/>
      <c r="L35" s="54"/>
      <c r="M35" s="54"/>
      <c r="N35" s="54"/>
      <c r="O35" s="54"/>
      <c r="P35" s="54"/>
    </row>
    <row r="36" spans="1:17" x14ac:dyDescent="0.2">
      <c r="A36" s="1597"/>
      <c r="B36" s="54"/>
      <c r="C36" s="54"/>
      <c r="D36" s="54"/>
      <c r="E36" s="54"/>
      <c r="F36" s="54"/>
      <c r="G36" s="54"/>
      <c r="H36" s="54"/>
      <c r="I36" s="54"/>
      <c r="J36" s="54"/>
      <c r="K36" s="991"/>
      <c r="L36" s="54"/>
      <c r="M36" s="54"/>
      <c r="N36" s="54"/>
      <c r="O36" s="54"/>
      <c r="P36" s="54"/>
    </row>
    <row r="37" spans="1:17" x14ac:dyDescent="0.2">
      <c r="A37" s="1597"/>
      <c r="B37" s="54"/>
      <c r="C37" s="54"/>
      <c r="D37" s="54"/>
      <c r="E37" s="54"/>
      <c r="F37" s="54"/>
      <c r="G37" s="54"/>
      <c r="H37" s="54"/>
      <c r="I37" s="54"/>
      <c r="J37" s="54"/>
      <c r="K37" s="991"/>
      <c r="L37" s="54"/>
      <c r="M37" s="54"/>
      <c r="N37" s="54"/>
      <c r="O37" s="54"/>
      <c r="P37" s="54"/>
    </row>
    <row r="38" spans="1:17" x14ac:dyDescent="0.2">
      <c r="B38" s="1572"/>
      <c r="C38" s="1572"/>
      <c r="D38" s="1572"/>
      <c r="E38" s="1599"/>
      <c r="F38" s="1599"/>
      <c r="G38" s="1599"/>
      <c r="H38" s="1599"/>
      <c r="O38" s="54"/>
      <c r="P38" s="54"/>
    </row>
    <row r="39" spans="1:17" x14ac:dyDescent="0.2">
      <c r="B39" s="1572"/>
      <c r="C39" s="1572"/>
      <c r="D39" s="1572"/>
      <c r="E39" s="1599"/>
      <c r="F39" s="1599"/>
      <c r="G39" s="1599"/>
      <c r="H39" s="1599"/>
      <c r="O39" s="54"/>
      <c r="P39" s="54"/>
    </row>
    <row r="40" spans="1:17" x14ac:dyDescent="0.2">
      <c r="B40" s="1572"/>
      <c r="C40" s="1572"/>
      <c r="D40" s="1572"/>
      <c r="E40" s="1599"/>
      <c r="F40" s="1599"/>
      <c r="G40" s="1599"/>
      <c r="H40" s="1599"/>
      <c r="O40" s="54"/>
      <c r="P40" s="54"/>
      <c r="Q40" s="1598"/>
    </row>
    <row r="41" spans="1:17" x14ac:dyDescent="0.2">
      <c r="B41" s="1572"/>
      <c r="C41" s="1572"/>
      <c r="D41" s="1572"/>
      <c r="E41" s="1599"/>
      <c r="F41" s="1599"/>
      <c r="G41" s="1599"/>
      <c r="H41" s="1599"/>
    </row>
    <row r="42" spans="1:17" x14ac:dyDescent="0.2">
      <c r="B42" s="1572"/>
      <c r="C42" s="1572"/>
      <c r="D42" s="1572"/>
      <c r="E42" s="1599"/>
      <c r="F42" s="1599"/>
      <c r="G42" s="1599"/>
      <c r="H42" s="1599"/>
    </row>
    <row r="43" spans="1:17" x14ac:dyDescent="0.2">
      <c r="B43" s="1572"/>
      <c r="C43" s="1572"/>
      <c r="D43" s="1572"/>
      <c r="E43" s="1599"/>
      <c r="F43" s="1599"/>
      <c r="G43" s="1599"/>
      <c r="H43" s="1599"/>
    </row>
    <row r="44" spans="1:17" x14ac:dyDescent="0.2">
      <c r="B44" s="1572"/>
      <c r="C44" s="1572"/>
      <c r="D44" s="1572"/>
      <c r="E44" s="1599"/>
      <c r="F44" s="1599"/>
      <c r="G44" s="1599"/>
      <c r="H44" s="1599"/>
    </row>
    <row r="45" spans="1:17" x14ac:dyDescent="0.2">
      <c r="B45" s="1572"/>
      <c r="C45" s="1572"/>
      <c r="D45" s="1572"/>
      <c r="E45" s="1599"/>
      <c r="F45" s="1599"/>
      <c r="G45" s="1599"/>
      <c r="H45" s="1599"/>
    </row>
    <row r="46" spans="1:17" x14ac:dyDescent="0.2">
      <c r="B46" s="1572"/>
      <c r="C46" s="1572"/>
      <c r="D46" s="1572"/>
      <c r="E46" s="1599"/>
      <c r="F46" s="1599"/>
      <c r="G46" s="1599"/>
      <c r="H46" s="1599"/>
    </row>
    <row r="47" spans="1:17" x14ac:dyDescent="0.2">
      <c r="B47" s="1572"/>
      <c r="C47" s="1572"/>
      <c r="D47" s="1572"/>
      <c r="E47" s="1599"/>
      <c r="F47" s="1599"/>
      <c r="G47" s="1599"/>
      <c r="H47" s="1599"/>
    </row>
    <row r="48" spans="1:17" x14ac:dyDescent="0.2">
      <c r="B48" s="1572"/>
      <c r="C48" s="1572"/>
      <c r="D48" s="1572"/>
      <c r="E48" s="1599"/>
      <c r="F48" s="1599"/>
      <c r="G48" s="1599"/>
      <c r="H48" s="1599"/>
    </row>
    <row r="49" spans="2:8" x14ac:dyDescent="0.2">
      <c r="B49" s="1572"/>
      <c r="C49" s="1572"/>
      <c r="D49" s="1572"/>
      <c r="E49" s="1599"/>
      <c r="F49" s="1599"/>
      <c r="G49" s="1599"/>
      <c r="H49" s="1599"/>
    </row>
    <row r="50" spans="2:8" x14ac:dyDescent="0.2">
      <c r="B50" s="1572"/>
      <c r="C50" s="1572"/>
      <c r="D50" s="1572"/>
      <c r="E50" s="1599"/>
      <c r="F50" s="1599"/>
      <c r="G50" s="1599"/>
      <c r="H50" s="1599"/>
    </row>
    <row r="51" spans="2:8" x14ac:dyDescent="0.2">
      <c r="B51" s="1572"/>
      <c r="C51" s="1572"/>
      <c r="D51" s="1572"/>
      <c r="E51" s="1599"/>
      <c r="F51" s="1599"/>
      <c r="G51" s="1599"/>
      <c r="H51" s="1599"/>
    </row>
    <row r="52" spans="2:8" x14ac:dyDescent="0.2">
      <c r="B52" s="1572"/>
      <c r="C52" s="1572"/>
      <c r="D52" s="1572"/>
      <c r="E52" s="1599"/>
      <c r="F52" s="1599"/>
      <c r="G52" s="1599"/>
      <c r="H52" s="1599"/>
    </row>
    <row r="53" spans="2:8" x14ac:dyDescent="0.2">
      <c r="B53" s="1572"/>
      <c r="C53" s="1572"/>
      <c r="D53" s="1572"/>
      <c r="E53" s="1599"/>
      <c r="F53" s="1599"/>
      <c r="G53" s="1599"/>
      <c r="H53" s="1599"/>
    </row>
    <row r="54" spans="2:8" x14ac:dyDescent="0.2">
      <c r="B54" s="1572"/>
      <c r="C54" s="1572"/>
      <c r="D54" s="1572"/>
      <c r="E54" s="1599"/>
      <c r="F54" s="1599"/>
      <c r="G54" s="1599"/>
      <c r="H54" s="1599"/>
    </row>
    <row r="55" spans="2:8" x14ac:dyDescent="0.2">
      <c r="B55" s="1572"/>
      <c r="C55" s="1572"/>
      <c r="D55" s="1572"/>
      <c r="E55" s="1599"/>
      <c r="F55" s="1599"/>
      <c r="G55" s="1599"/>
      <c r="H55" s="1599"/>
    </row>
    <row r="56" spans="2:8" x14ac:dyDescent="0.2">
      <c r="B56" s="1572"/>
      <c r="C56" s="1572"/>
      <c r="D56" s="1572"/>
      <c r="E56" s="1599"/>
      <c r="F56" s="1599"/>
      <c r="G56" s="1599"/>
      <c r="H56" s="1599"/>
    </row>
    <row r="57" spans="2:8" x14ac:dyDescent="0.2">
      <c r="B57" s="1572"/>
      <c r="C57" s="1572"/>
      <c r="D57" s="1572"/>
      <c r="E57" s="1599"/>
      <c r="F57" s="1599"/>
      <c r="G57" s="1599"/>
      <c r="H57" s="1599"/>
    </row>
    <row r="58" spans="2:8" x14ac:dyDescent="0.2">
      <c r="B58" s="1572"/>
      <c r="C58" s="1572"/>
      <c r="D58" s="1572"/>
      <c r="E58" s="1599"/>
      <c r="F58" s="1599"/>
      <c r="G58" s="1599"/>
      <c r="H58" s="1599"/>
    </row>
    <row r="59" spans="2:8" x14ac:dyDescent="0.2">
      <c r="B59" s="1572"/>
      <c r="C59" s="1572"/>
      <c r="D59" s="1572"/>
      <c r="E59" s="1599"/>
      <c r="F59" s="1599"/>
      <c r="G59" s="1599"/>
      <c r="H59" s="1599"/>
    </row>
    <row r="60" spans="2:8" x14ac:dyDescent="0.2">
      <c r="B60" s="1572"/>
      <c r="C60" s="1572"/>
      <c r="D60" s="1572"/>
      <c r="E60" s="1599"/>
      <c r="F60" s="1599"/>
      <c r="G60" s="1599"/>
      <c r="H60" s="1599"/>
    </row>
    <row r="61" spans="2:8" x14ac:dyDescent="0.2">
      <c r="B61" s="1572"/>
      <c r="C61" s="1572"/>
      <c r="D61" s="1572"/>
      <c r="E61" s="1599"/>
      <c r="F61" s="1599"/>
      <c r="G61" s="1599"/>
      <c r="H61" s="1599"/>
    </row>
    <row r="62" spans="2:8" x14ac:dyDescent="0.2">
      <c r="B62" s="1572"/>
      <c r="C62" s="1572"/>
      <c r="D62" s="1572"/>
      <c r="E62" s="1599"/>
      <c r="F62" s="1599"/>
      <c r="G62" s="1599"/>
      <c r="H62" s="1599"/>
    </row>
    <row r="63" spans="2:8" x14ac:dyDescent="0.2">
      <c r="B63" s="1572"/>
      <c r="C63" s="1572"/>
      <c r="D63" s="1572"/>
      <c r="E63" s="1599"/>
      <c r="F63" s="1599"/>
      <c r="G63" s="1599"/>
      <c r="H63" s="1599"/>
    </row>
    <row r="64" spans="2:8" x14ac:dyDescent="0.2">
      <c r="B64" s="1572"/>
      <c r="C64" s="1572"/>
      <c r="D64" s="1572"/>
      <c r="E64" s="1599"/>
      <c r="F64" s="1599"/>
      <c r="G64" s="1599"/>
      <c r="H64" s="1599"/>
    </row>
    <row r="65" spans="2:8" x14ac:dyDescent="0.2">
      <c r="B65" s="1572"/>
      <c r="C65" s="1572"/>
      <c r="D65" s="1572"/>
      <c r="E65" s="1599"/>
      <c r="F65" s="1599"/>
      <c r="G65" s="1599"/>
      <c r="H65" s="1599"/>
    </row>
    <row r="66" spans="2:8" x14ac:dyDescent="0.2">
      <c r="B66" s="1572"/>
      <c r="C66" s="1572"/>
      <c r="D66" s="1572"/>
      <c r="E66" s="1599"/>
      <c r="F66" s="1599"/>
      <c r="G66" s="1599"/>
      <c r="H66" s="1599"/>
    </row>
    <row r="67" spans="2:8" x14ac:dyDescent="0.2">
      <c r="B67" s="1572"/>
    </row>
    <row r="68" spans="2:8" x14ac:dyDescent="0.2">
      <c r="B68" s="1572"/>
    </row>
    <row r="69" spans="2:8" x14ac:dyDescent="0.2">
      <c r="B69" s="1572"/>
    </row>
    <row r="70" spans="2:8" x14ac:dyDescent="0.2">
      <c r="B70" s="1572"/>
    </row>
    <row r="71" spans="2:8" x14ac:dyDescent="0.2">
      <c r="B71" s="1572"/>
    </row>
    <row r="72" spans="2:8" x14ac:dyDescent="0.2">
      <c r="B72" s="1572"/>
    </row>
    <row r="73" spans="2:8" x14ac:dyDescent="0.2">
      <c r="B73" s="1572"/>
    </row>
    <row r="74" spans="2:8" x14ac:dyDescent="0.2">
      <c r="B74" s="1572"/>
    </row>
    <row r="75" spans="2:8" x14ac:dyDescent="0.2">
      <c r="B75" s="1572"/>
    </row>
    <row r="76" spans="2:8" x14ac:dyDescent="0.2">
      <c r="B76" s="1572"/>
    </row>
    <row r="77" spans="2:8" x14ac:dyDescent="0.2">
      <c r="B77" s="1572"/>
    </row>
    <row r="78" spans="2:8" x14ac:dyDescent="0.2">
      <c r="B78" s="1572"/>
    </row>
    <row r="79" spans="2:8" x14ac:dyDescent="0.2">
      <c r="B79" s="1572"/>
    </row>
    <row r="80" spans="2:8" x14ac:dyDescent="0.2">
      <c r="B80" s="1572"/>
    </row>
    <row r="81" spans="2:2" x14ac:dyDescent="0.2">
      <c r="B81" s="1572"/>
    </row>
    <row r="82" spans="2:2" x14ac:dyDescent="0.2">
      <c r="B82" s="1572"/>
    </row>
    <row r="83" spans="2:2" x14ac:dyDescent="0.2">
      <c r="B83" s="1572"/>
    </row>
  </sheetData>
  <mergeCells count="4">
    <mergeCell ref="A27:N27"/>
    <mergeCell ref="A28:N28"/>
    <mergeCell ref="A29:N29"/>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rintOptions horizontalCentered="1" verticalCentered="1"/>
  <pageMargins left="0.7" right="0.7" top="0.5" bottom="0.25" header="0.5" footer="0.5"/>
  <pageSetup scale="65" fitToHeight="99" pageOrder="overThenDown" orientation="portrait" blackAndWhite="1"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7">
    <pageSetUpPr fitToPage="1"/>
  </sheetPr>
  <dimension ref="A1:Q143"/>
  <sheetViews>
    <sheetView showGridLines="0" zoomScaleNormal="100" zoomScaleSheetLayoutView="5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9.140625" style="1572" customWidth="1"/>
    <col min="2" max="2" width="6.42578125" style="1573" bestFit="1" customWidth="1"/>
    <col min="3" max="3" width="13.7109375" style="1601" customWidth="1"/>
    <col min="4" max="4" width="3" style="1601" customWidth="1"/>
    <col min="5" max="5" width="13.7109375" style="1600" customWidth="1"/>
    <col min="6" max="6" width="2.85546875" style="1602" customWidth="1"/>
    <col min="7" max="7" width="13.7109375" style="1600" hidden="1" customWidth="1"/>
    <col min="8" max="8" width="3.140625" style="1602" hidden="1" customWidth="1"/>
    <col min="9" max="9" width="13.7109375" style="1600" customWidth="1"/>
    <col min="10" max="10" width="3.140625" style="1602" customWidth="1"/>
    <col min="11" max="11" width="13.7109375" style="1600" customWidth="1"/>
    <col min="12" max="12" width="3.140625" style="1602" bestFit="1" customWidth="1"/>
    <col min="13" max="13" width="13.7109375" style="1600" hidden="1" customWidth="1"/>
    <col min="14" max="14" width="3.140625" style="1602" hidden="1" customWidth="1"/>
    <col min="15" max="15" width="13.7109375" style="1600" customWidth="1"/>
    <col min="16" max="16" width="2.85546875" style="1602" customWidth="1"/>
    <col min="17" max="17" width="3.42578125" style="1576" customWidth="1"/>
    <col min="18" max="16384" width="9.140625" style="1576"/>
  </cols>
  <sheetData>
    <row r="1" spans="1:16" s="1551" customFormat="1" ht="15.75" x14ac:dyDescent="0.2">
      <c r="A1" s="1548" t="s">
        <v>174</v>
      </c>
      <c r="B1" s="1549">
        <v>2019</v>
      </c>
      <c r="C1" s="1550"/>
      <c r="E1" s="1550"/>
      <c r="G1" s="1552"/>
      <c r="I1" s="1552"/>
      <c r="J1" s="1553"/>
      <c r="K1" s="1688"/>
      <c r="L1" s="1553"/>
      <c r="M1" s="1552"/>
      <c r="N1" s="1553"/>
    </row>
    <row r="2" spans="1:16" s="1551" customFormat="1" ht="15.75" x14ac:dyDescent="0.25">
      <c r="A2" s="1548" t="s">
        <v>175</v>
      </c>
      <c r="B2" s="1554" t="s">
        <v>176</v>
      </c>
      <c r="C2" s="1554" t="s">
        <v>0</v>
      </c>
      <c r="D2" s="1553"/>
      <c r="E2" s="1555"/>
      <c r="F2" s="1556"/>
      <c r="G2" s="1555"/>
      <c r="H2" s="1553"/>
      <c r="I2" s="1555"/>
      <c r="J2" s="1553"/>
      <c r="K2" s="1733" t="s">
        <v>171</v>
      </c>
      <c r="L2" s="1553"/>
      <c r="M2" s="1555"/>
      <c r="N2" s="1553"/>
    </row>
    <row r="3" spans="1:16" s="1551" customFormat="1" ht="15.75" x14ac:dyDescent="0.25">
      <c r="A3" s="1548" t="s">
        <v>177</v>
      </c>
      <c r="B3" s="1557" t="s">
        <v>1496</v>
      </c>
      <c r="C3" s="1557" t="s">
        <v>1896</v>
      </c>
      <c r="D3" s="1553"/>
      <c r="E3" s="1558"/>
      <c r="F3" s="1556"/>
      <c r="G3" s="1558"/>
      <c r="H3" s="1553"/>
      <c r="I3" s="1558"/>
      <c r="J3" s="1553"/>
      <c r="K3" s="1734"/>
      <c r="L3" s="1553"/>
      <c r="M3" s="1558"/>
      <c r="N3" s="1553"/>
    </row>
    <row r="4" spans="1:16" s="1551" customFormat="1" ht="15.75" x14ac:dyDescent="0.25">
      <c r="A4" s="1548" t="s">
        <v>180</v>
      </c>
      <c r="B4" s="1557" t="s">
        <v>1897</v>
      </c>
      <c r="C4" s="1557" t="s">
        <v>46</v>
      </c>
      <c r="D4" s="1553"/>
      <c r="E4" s="1558"/>
      <c r="F4" s="1556"/>
      <c r="G4" s="1558"/>
      <c r="H4" s="1553"/>
      <c r="I4" s="1558"/>
      <c r="J4" s="1553"/>
      <c r="K4" s="1558"/>
      <c r="L4" s="1553"/>
      <c r="M4" s="1558"/>
      <c r="N4" s="1553"/>
    </row>
    <row r="5" spans="1:16" s="1551" customFormat="1" ht="15.75" x14ac:dyDescent="0.2">
      <c r="A5" s="1548" t="s">
        <v>183</v>
      </c>
      <c r="B5" s="1559" t="s">
        <v>211</v>
      </c>
      <c r="C5" s="1559" t="s">
        <v>211</v>
      </c>
      <c r="D5" s="1560"/>
      <c r="E5" s="1561"/>
      <c r="G5" s="1561"/>
      <c r="I5" s="1561"/>
      <c r="K5" s="1561"/>
      <c r="M5" s="1561"/>
    </row>
    <row r="6" spans="1:16" s="1551" customFormat="1" ht="15.75" x14ac:dyDescent="0.25">
      <c r="A6" s="1562" t="s">
        <v>186</v>
      </c>
      <c r="B6" s="1563">
        <v>4</v>
      </c>
      <c r="C6" s="1564"/>
      <c r="D6" s="1565"/>
      <c r="E6" s="1566"/>
      <c r="F6" s="1556"/>
      <c r="G6" s="1555"/>
      <c r="H6" s="1553"/>
      <c r="I6" s="1555"/>
      <c r="J6" s="1553"/>
      <c r="K6" s="1555"/>
      <c r="L6" s="1553"/>
      <c r="M6" s="1555"/>
      <c r="N6" s="1553"/>
    </row>
    <row r="7" spans="1:16" s="1571" customFormat="1" x14ac:dyDescent="0.2">
      <c r="A7" s="1567"/>
      <c r="B7" s="1568"/>
      <c r="C7" s="1569"/>
      <c r="D7" s="1570"/>
      <c r="E7" s="1569"/>
      <c r="F7" s="1570"/>
      <c r="G7" s="1569"/>
      <c r="H7" s="1570"/>
      <c r="I7" s="1569"/>
      <c r="J7" s="1570"/>
      <c r="K7" s="1569" t="s">
        <v>187</v>
      </c>
      <c r="L7" s="1570"/>
      <c r="M7" s="1569" t="s">
        <v>187</v>
      </c>
      <c r="N7" s="1570"/>
    </row>
    <row r="8" spans="1:16" x14ac:dyDescent="0.2">
      <c r="C8" s="1574" t="s">
        <v>188</v>
      </c>
      <c r="D8" s="1575" t="s">
        <v>189</v>
      </c>
      <c r="E8" s="1574" t="s">
        <v>188</v>
      </c>
      <c r="F8" s="1575" t="s">
        <v>189</v>
      </c>
      <c r="G8" s="1574" t="s">
        <v>190</v>
      </c>
      <c r="H8" s="1575" t="s">
        <v>189</v>
      </c>
      <c r="I8" s="1574" t="s">
        <v>191</v>
      </c>
      <c r="J8" s="1575" t="s">
        <v>189</v>
      </c>
      <c r="K8" s="1574" t="s">
        <v>192</v>
      </c>
      <c r="L8" s="1575" t="s">
        <v>189</v>
      </c>
      <c r="M8" s="1574" t="s">
        <v>192</v>
      </c>
      <c r="N8" s="1575" t="s">
        <v>189</v>
      </c>
      <c r="O8" s="1576"/>
      <c r="P8" s="1576"/>
    </row>
    <row r="9" spans="1:16" s="1571" customFormat="1" ht="14.25" x14ac:dyDescent="0.2">
      <c r="A9" s="1577"/>
      <c r="B9" s="1578"/>
      <c r="C9" s="1579" t="str">
        <f>"FY " &amp; FiscalYear - 3</f>
        <v>FY 2016</v>
      </c>
      <c r="D9" s="1580" t="s">
        <v>193</v>
      </c>
      <c r="E9" s="1579" t="str">
        <f>"FY " &amp; FiscalYear - 2</f>
        <v>FY 2017</v>
      </c>
      <c r="F9" s="1580" t="s">
        <v>193</v>
      </c>
      <c r="G9" s="1579" t="str">
        <f>"FY " &amp; FiscalYear - 1</f>
        <v>FY 2018</v>
      </c>
      <c r="H9" s="1580" t="s">
        <v>193</v>
      </c>
      <c r="I9" s="1581" t="str">
        <f>"FY " &amp; FiscalYear - 1</f>
        <v>FY 2018</v>
      </c>
      <c r="J9" s="1580" t="s">
        <v>193</v>
      </c>
      <c r="K9" s="1581" t="str">
        <f>"FY " &amp; FiscalYear</f>
        <v>FY 2019</v>
      </c>
      <c r="L9" s="1580" t="s">
        <v>193</v>
      </c>
      <c r="M9" s="1581" t="str">
        <f>"FY " &amp; FiscalYear + 1</f>
        <v>FY 2020</v>
      </c>
      <c r="N9" s="1580" t="s">
        <v>193</v>
      </c>
    </row>
    <row r="10" spans="1:16" s="1584" customFormat="1" x14ac:dyDescent="0.2">
      <c r="A10" s="1582" t="s">
        <v>222</v>
      </c>
      <c r="B10" s="1583"/>
      <c r="C10" s="1619"/>
      <c r="D10" s="1619"/>
      <c r="E10" s="1620"/>
    </row>
    <row r="11" spans="1:16" s="1584" customFormat="1" x14ac:dyDescent="0.2">
      <c r="A11" s="1582" t="s">
        <v>2221</v>
      </c>
      <c r="B11" s="1583"/>
      <c r="C11" s="1619"/>
      <c r="D11" s="1619"/>
    </row>
    <row r="12" spans="1:16" s="1588" customFormat="1" x14ac:dyDescent="0.2">
      <c r="A12" s="1618" t="s">
        <v>48</v>
      </c>
      <c r="B12" s="1615"/>
      <c r="C12" s="1619"/>
      <c r="D12" s="1619"/>
      <c r="M12" s="1617"/>
    </row>
    <row r="13" spans="1:16" s="1588" customFormat="1" x14ac:dyDescent="0.2">
      <c r="A13" s="1689" t="s">
        <v>2222</v>
      </c>
      <c r="B13" s="1615"/>
      <c r="C13" s="1613">
        <v>42106</v>
      </c>
      <c r="D13" s="1619"/>
      <c r="E13" s="1613">
        <v>43269</v>
      </c>
      <c r="G13" s="1652">
        <v>43420</v>
      </c>
      <c r="H13" s="1690"/>
      <c r="I13" s="1652">
        <v>43778</v>
      </c>
      <c r="J13" s="1690"/>
      <c r="K13" s="1652">
        <v>43778</v>
      </c>
      <c r="M13" s="1668"/>
    </row>
    <row r="14" spans="1:16" s="1588" customFormat="1" x14ac:dyDescent="0.2">
      <c r="A14" s="1689" t="s">
        <v>2223</v>
      </c>
      <c r="B14" s="1615"/>
      <c r="C14" s="1613">
        <v>10230</v>
      </c>
      <c r="D14" s="1619"/>
      <c r="E14" s="1613">
        <v>10261</v>
      </c>
      <c r="G14" s="1652">
        <v>10495</v>
      </c>
      <c r="H14" s="1690"/>
      <c r="I14" s="1652">
        <v>10341</v>
      </c>
      <c r="J14" s="1690"/>
      <c r="K14" s="1652">
        <v>10341</v>
      </c>
      <c r="M14" s="1668"/>
    </row>
    <row r="15" spans="1:16" s="1588" customFormat="1" x14ac:dyDescent="0.2">
      <c r="A15" s="1689" t="s">
        <v>2224</v>
      </c>
      <c r="B15" s="1615"/>
      <c r="C15" s="1613">
        <f t="shared" ref="C15" si="0">SUM(C13:C14)</f>
        <v>52336</v>
      </c>
      <c r="D15" s="1613"/>
      <c r="E15" s="1613">
        <f>SUM(E13:E14)</f>
        <v>53530</v>
      </c>
      <c r="F15" s="1613"/>
      <c r="G15" s="1613">
        <f t="shared" ref="G15:I15" si="1">SUM(G13:G14)</f>
        <v>53915</v>
      </c>
      <c r="H15" s="1613">
        <f t="shared" si="1"/>
        <v>0</v>
      </c>
      <c r="I15" s="1613">
        <f t="shared" si="1"/>
        <v>54119</v>
      </c>
      <c r="J15" s="1613"/>
      <c r="K15" s="1613">
        <f t="shared" ref="K15" si="2">SUM(K13:K14)</f>
        <v>54119</v>
      </c>
      <c r="M15" s="1668"/>
    </row>
    <row r="16" spans="1:16" s="1588" customFormat="1" x14ac:dyDescent="0.2">
      <c r="A16" s="1618" t="s">
        <v>106</v>
      </c>
      <c r="B16" s="1615"/>
      <c r="C16" s="1613"/>
      <c r="D16" s="1619"/>
      <c r="E16" s="1613"/>
      <c r="G16" s="1652"/>
      <c r="H16" s="1690"/>
      <c r="I16" s="1652"/>
      <c r="J16" s="1690"/>
      <c r="K16" s="1652"/>
      <c r="M16" s="1668"/>
    </row>
    <row r="17" spans="1:13" s="1588" customFormat="1" x14ac:dyDescent="0.2">
      <c r="A17" s="1689" t="s">
        <v>2222</v>
      </c>
      <c r="B17" s="1615"/>
      <c r="C17" s="1613">
        <v>14470</v>
      </c>
      <c r="D17" s="1613"/>
      <c r="E17" s="1613">
        <v>14736</v>
      </c>
      <c r="F17" s="1613"/>
      <c r="G17" s="1613"/>
      <c r="H17" s="1613"/>
      <c r="I17" s="1613">
        <v>14733</v>
      </c>
      <c r="J17" s="1613"/>
      <c r="K17" s="1613">
        <v>14809</v>
      </c>
      <c r="M17" s="1668"/>
    </row>
    <row r="18" spans="1:13" s="1588" customFormat="1" x14ac:dyDescent="0.2">
      <c r="A18" s="1689" t="s">
        <v>2223</v>
      </c>
      <c r="B18" s="1615"/>
      <c r="C18" s="1613">
        <v>2289</v>
      </c>
      <c r="D18" s="1613"/>
      <c r="E18" s="1613">
        <v>2290</v>
      </c>
      <c r="F18" s="1613"/>
      <c r="G18" s="1613"/>
      <c r="H18" s="1613"/>
      <c r="I18" s="1613">
        <v>2322</v>
      </c>
      <c r="J18" s="1613"/>
      <c r="K18" s="1613">
        <v>2322</v>
      </c>
      <c r="M18" s="1668"/>
    </row>
    <row r="19" spans="1:13" s="1588" customFormat="1" x14ac:dyDescent="0.2">
      <c r="A19" s="1689" t="s">
        <v>2224</v>
      </c>
      <c r="B19" s="1615"/>
      <c r="C19" s="1613">
        <f>C17+C18</f>
        <v>16759</v>
      </c>
      <c r="D19" s="1613"/>
      <c r="E19" s="1613">
        <f t="shared" ref="E19:K19" si="3">E17+E18</f>
        <v>17026</v>
      </c>
      <c r="F19" s="1613"/>
      <c r="G19" s="1613">
        <f t="shared" si="3"/>
        <v>0</v>
      </c>
      <c r="H19" s="1613">
        <f t="shared" si="3"/>
        <v>0</v>
      </c>
      <c r="I19" s="1613">
        <f t="shared" si="3"/>
        <v>17055</v>
      </c>
      <c r="J19" s="1613"/>
      <c r="K19" s="1613">
        <f t="shared" si="3"/>
        <v>17131</v>
      </c>
      <c r="M19" s="1668"/>
    </row>
    <row r="20" spans="1:13" s="1588" customFormat="1" x14ac:dyDescent="0.2">
      <c r="A20" s="1618" t="s">
        <v>53</v>
      </c>
      <c r="B20" s="1615"/>
      <c r="C20" s="1613"/>
      <c r="D20" s="1613"/>
      <c r="E20" s="1613"/>
      <c r="F20" s="1613"/>
      <c r="G20" s="1613"/>
      <c r="H20" s="1613"/>
      <c r="I20" s="1613"/>
      <c r="J20" s="1613"/>
      <c r="K20" s="1613"/>
      <c r="M20" s="1617"/>
    </row>
    <row r="21" spans="1:13" s="1588" customFormat="1" x14ac:dyDescent="0.2">
      <c r="A21" s="1689" t="s">
        <v>2225</v>
      </c>
      <c r="B21" s="1615"/>
      <c r="C21" s="1613">
        <v>6539</v>
      </c>
      <c r="D21" s="1613"/>
      <c r="E21" s="1613">
        <v>6868</v>
      </c>
      <c r="F21" s="1613"/>
      <c r="G21" s="1613">
        <v>6913</v>
      </c>
      <c r="H21" s="1613"/>
      <c r="I21" s="1613">
        <v>7064</v>
      </c>
      <c r="J21" s="1613"/>
      <c r="K21" s="1613">
        <v>7234</v>
      </c>
      <c r="M21" s="1668"/>
    </row>
    <row r="22" spans="1:13" s="1588" customFormat="1" x14ac:dyDescent="0.2">
      <c r="A22" s="1689" t="s">
        <v>2226</v>
      </c>
      <c r="B22" s="1615"/>
      <c r="C22" s="1613">
        <v>2132</v>
      </c>
      <c r="D22" s="1613"/>
      <c r="E22" s="1613">
        <v>1924</v>
      </c>
      <c r="F22" s="1613"/>
      <c r="G22" s="1613">
        <v>1983</v>
      </c>
      <c r="H22" s="1613"/>
      <c r="I22" s="1613">
        <v>1814</v>
      </c>
      <c r="J22" s="1613"/>
      <c r="K22" s="1613">
        <v>1772</v>
      </c>
      <c r="M22" s="1668"/>
    </row>
    <row r="23" spans="1:13" s="1588" customFormat="1" x14ac:dyDescent="0.2">
      <c r="A23" s="1689" t="s">
        <v>2224</v>
      </c>
      <c r="B23" s="1615"/>
      <c r="C23" s="1613">
        <f t="shared" ref="C23:I23" si="4">C21+C22</f>
        <v>8671</v>
      </c>
      <c r="D23" s="1613"/>
      <c r="E23" s="1613">
        <f t="shared" si="4"/>
        <v>8792</v>
      </c>
      <c r="F23" s="1613"/>
      <c r="G23" s="1613">
        <f t="shared" si="4"/>
        <v>8896</v>
      </c>
      <c r="H23" s="1613">
        <f t="shared" si="4"/>
        <v>0</v>
      </c>
      <c r="I23" s="1613">
        <f t="shared" si="4"/>
        <v>8878</v>
      </c>
      <c r="J23" s="1613"/>
      <c r="K23" s="1613">
        <f>K21+K22</f>
        <v>9006</v>
      </c>
      <c r="M23" s="1668"/>
    </row>
    <row r="24" spans="1:13" s="1588" customFormat="1" x14ac:dyDescent="0.2">
      <c r="A24" s="1618" t="s">
        <v>2227</v>
      </c>
      <c r="B24" s="1615"/>
      <c r="C24" s="1619"/>
      <c r="D24" s="1619"/>
      <c r="E24" s="1619"/>
      <c r="G24" s="1690"/>
      <c r="H24" s="1690"/>
      <c r="I24" s="1690"/>
      <c r="J24" s="1690"/>
      <c r="M24" s="1617"/>
    </row>
    <row r="25" spans="1:13" s="1588" customFormat="1" x14ac:dyDescent="0.2">
      <c r="A25" s="1689" t="s">
        <v>2222</v>
      </c>
      <c r="B25" s="1615"/>
      <c r="C25" s="1613">
        <v>12085</v>
      </c>
      <c r="D25" s="1619"/>
      <c r="E25" s="1613">
        <v>13365</v>
      </c>
      <c r="G25" s="1652">
        <v>12841</v>
      </c>
      <c r="H25" s="1690"/>
      <c r="I25" s="1652">
        <v>13652</v>
      </c>
      <c r="J25" s="1690"/>
      <c r="K25" s="1613">
        <v>13652</v>
      </c>
      <c r="M25" s="1668"/>
    </row>
    <row r="26" spans="1:13" s="1588" customFormat="1" x14ac:dyDescent="0.2">
      <c r="A26" s="1689" t="s">
        <v>2223</v>
      </c>
      <c r="B26" s="1615"/>
      <c r="C26" s="1613">
        <v>1922</v>
      </c>
      <c r="D26" s="1619"/>
      <c r="E26" s="1613">
        <v>1963</v>
      </c>
      <c r="G26" s="1652">
        <v>2178</v>
      </c>
      <c r="H26" s="1690"/>
      <c r="I26" s="1652">
        <v>2109</v>
      </c>
      <c r="J26" s="1690"/>
      <c r="K26" s="1613">
        <v>2182</v>
      </c>
      <c r="M26" s="1668"/>
    </row>
    <row r="27" spans="1:13" s="1588" customFormat="1" x14ac:dyDescent="0.2">
      <c r="A27" s="1689" t="s">
        <v>2224</v>
      </c>
      <c r="B27" s="1615"/>
      <c r="C27" s="1613">
        <f>SUM(C25:C26)</f>
        <v>14007</v>
      </c>
      <c r="D27" s="1619"/>
      <c r="E27" s="1613">
        <f>E25+E26</f>
        <v>15328</v>
      </c>
      <c r="G27" s="1652">
        <v>15019</v>
      </c>
      <c r="H27" s="1690"/>
      <c r="I27" s="1652">
        <f>I25+I26</f>
        <v>15761</v>
      </c>
      <c r="J27" s="1690"/>
      <c r="K27" s="1613">
        <f>K25+K26</f>
        <v>15834</v>
      </c>
      <c r="M27" s="1668"/>
    </row>
    <row r="28" spans="1:13" s="1588" customFormat="1" x14ac:dyDescent="0.2">
      <c r="A28" s="1618" t="s">
        <v>2228</v>
      </c>
      <c r="B28" s="1615"/>
      <c r="C28" s="1619"/>
      <c r="D28" s="1619"/>
      <c r="E28" s="1619"/>
      <c r="G28" s="1652"/>
      <c r="H28" s="1690"/>
      <c r="I28" s="1652"/>
      <c r="J28" s="1690"/>
      <c r="M28" s="1617"/>
    </row>
    <row r="29" spans="1:13" s="1588" customFormat="1" x14ac:dyDescent="0.2">
      <c r="A29" s="1689" t="s">
        <v>2222</v>
      </c>
      <c r="B29" s="1615"/>
      <c r="C29" s="1613">
        <v>40785</v>
      </c>
      <c r="D29" s="1619"/>
      <c r="E29" s="1613">
        <v>40861</v>
      </c>
      <c r="G29" s="1652">
        <v>55899</v>
      </c>
      <c r="H29" s="1690"/>
      <c r="I29" s="1652">
        <v>41161</v>
      </c>
      <c r="J29" s="1690"/>
      <c r="K29" s="1652">
        <v>41537</v>
      </c>
      <c r="M29" s="1668"/>
    </row>
    <row r="30" spans="1:13" s="1588" customFormat="1" x14ac:dyDescent="0.2">
      <c r="A30" s="1689" t="s">
        <v>2223</v>
      </c>
      <c r="B30" s="1615"/>
      <c r="C30" s="1613">
        <v>4072</v>
      </c>
      <c r="D30" s="1619"/>
      <c r="E30" s="1613">
        <v>4113</v>
      </c>
      <c r="G30" s="1652">
        <v>6548</v>
      </c>
      <c r="H30" s="1690"/>
      <c r="I30" s="1652">
        <v>4107</v>
      </c>
      <c r="J30" s="1690"/>
      <c r="K30" s="1652">
        <v>4158</v>
      </c>
      <c r="M30" s="1668"/>
    </row>
    <row r="31" spans="1:13" s="1588" customFormat="1" x14ac:dyDescent="0.2">
      <c r="A31" s="1689" t="s">
        <v>2224</v>
      </c>
      <c r="B31" s="1615"/>
      <c r="C31" s="1613">
        <f>SUM(C29:C30)</f>
        <v>44857</v>
      </c>
      <c r="D31" s="1619"/>
      <c r="E31" s="1613">
        <f>SUM(E29:E30)</f>
        <v>44974</v>
      </c>
      <c r="F31" s="1613"/>
      <c r="G31" s="1613">
        <f t="shared" ref="G31:K31" si="5">SUM(G29:G30)</f>
        <v>62447</v>
      </c>
      <c r="H31" s="1613">
        <f t="shared" si="5"/>
        <v>0</v>
      </c>
      <c r="I31" s="1613">
        <f t="shared" si="5"/>
        <v>45268</v>
      </c>
      <c r="J31" s="1613"/>
      <c r="K31" s="1652">
        <f t="shared" si="5"/>
        <v>45695</v>
      </c>
      <c r="M31" s="1668"/>
    </row>
    <row r="32" spans="1:13" s="1588" customFormat="1" x14ac:dyDescent="0.2">
      <c r="A32" s="1689" t="s">
        <v>2229</v>
      </c>
      <c r="B32" s="1615"/>
      <c r="C32" s="1664">
        <v>12694</v>
      </c>
      <c r="D32" s="1619"/>
      <c r="E32" s="1664">
        <v>12958</v>
      </c>
      <c r="G32" s="1658"/>
      <c r="H32" s="1690"/>
      <c r="I32" s="1658">
        <v>13251</v>
      </c>
      <c r="J32" s="1690"/>
      <c r="K32" s="1691"/>
      <c r="M32" s="1657"/>
    </row>
    <row r="33" spans="1:13" s="1588" customFormat="1" x14ac:dyDescent="0.2">
      <c r="A33" s="1689" t="s">
        <v>2230</v>
      </c>
      <c r="B33" s="1615"/>
      <c r="C33" s="1664">
        <v>30018</v>
      </c>
      <c r="D33" s="1619"/>
      <c r="E33" s="1664">
        <v>30667</v>
      </c>
      <c r="G33" s="1658"/>
      <c r="H33" s="1690"/>
      <c r="I33" s="1658">
        <v>31309</v>
      </c>
      <c r="J33" s="1690"/>
      <c r="K33" s="1691"/>
      <c r="M33" s="1657"/>
    </row>
    <row r="34" spans="1:13" s="1588" customFormat="1" x14ac:dyDescent="0.2">
      <c r="A34" s="1689" t="s">
        <v>2231</v>
      </c>
      <c r="B34" s="1615"/>
      <c r="C34" s="1662">
        <v>0.85799999999999998</v>
      </c>
      <c r="D34" s="1619"/>
      <c r="E34" s="1662">
        <v>0.86099999999999999</v>
      </c>
      <c r="G34" s="1663"/>
      <c r="H34" s="1690"/>
      <c r="I34" s="1663"/>
      <c r="J34" s="1690"/>
      <c r="K34" s="1692"/>
      <c r="M34" s="1693"/>
    </row>
    <row r="35" spans="1:13" s="1588" customFormat="1" x14ac:dyDescent="0.2">
      <c r="A35" s="1689" t="s">
        <v>2232</v>
      </c>
      <c r="B35" s="1615"/>
      <c r="C35" s="1662">
        <v>0.68200000000000005</v>
      </c>
      <c r="D35" s="1619"/>
      <c r="E35" s="1662">
        <v>0.67100000000000004</v>
      </c>
      <c r="G35" s="1663"/>
      <c r="H35" s="1690"/>
      <c r="I35" s="1663"/>
      <c r="J35" s="1690"/>
      <c r="K35" s="1692"/>
      <c r="M35" s="1693"/>
    </row>
    <row r="36" spans="1:13" s="1588" customFormat="1" x14ac:dyDescent="0.2">
      <c r="A36" s="1618" t="s">
        <v>2233</v>
      </c>
      <c r="B36" s="1615"/>
      <c r="C36" s="1619"/>
      <c r="D36" s="1619"/>
      <c r="E36" s="1619"/>
      <c r="G36" s="1652"/>
      <c r="H36" s="1690"/>
      <c r="I36" s="1652"/>
      <c r="J36" s="1690"/>
      <c r="M36" s="1617"/>
    </row>
    <row r="37" spans="1:13" s="1588" customFormat="1" x14ac:dyDescent="0.2">
      <c r="A37" s="1689" t="s">
        <v>2234</v>
      </c>
      <c r="B37" s="1615"/>
      <c r="C37" s="1613">
        <v>19</v>
      </c>
      <c r="D37" s="1619"/>
      <c r="E37" s="1613">
        <v>19</v>
      </c>
      <c r="G37" s="1652">
        <v>19</v>
      </c>
      <c r="H37" s="1690"/>
      <c r="I37" s="1652">
        <v>19</v>
      </c>
      <c r="J37" s="1690"/>
      <c r="K37" s="1652">
        <v>19</v>
      </c>
      <c r="M37" s="1613"/>
    </row>
    <row r="38" spans="1:13" s="1588" customFormat="1" x14ac:dyDescent="0.2">
      <c r="A38" s="1689" t="s">
        <v>2235</v>
      </c>
      <c r="B38" s="1615"/>
      <c r="C38" s="1613">
        <v>116500</v>
      </c>
      <c r="D38" s="1613"/>
      <c r="E38" s="1613">
        <v>113093</v>
      </c>
      <c r="F38" s="1621"/>
      <c r="G38" s="1652">
        <v>113093</v>
      </c>
      <c r="H38" s="1652"/>
      <c r="I38" s="1668">
        <v>107847</v>
      </c>
      <c r="J38" s="1652"/>
      <c r="K38" s="1668">
        <v>107847</v>
      </c>
      <c r="M38" s="1668"/>
    </row>
    <row r="39" spans="1:13" s="1588" customFormat="1" x14ac:dyDescent="0.2">
      <c r="A39" s="1689" t="s">
        <v>2229</v>
      </c>
      <c r="B39" s="1615"/>
      <c r="C39" s="1664">
        <v>4271</v>
      </c>
      <c r="D39" s="1619"/>
      <c r="E39" s="1664">
        <v>4394</v>
      </c>
      <c r="G39" s="1658"/>
      <c r="H39" s="1690"/>
      <c r="I39" s="1658">
        <v>4441</v>
      </c>
      <c r="J39" s="1690"/>
      <c r="K39" s="1691"/>
      <c r="M39" s="1657"/>
    </row>
    <row r="40" spans="1:13" s="1588" customFormat="1" x14ac:dyDescent="0.2">
      <c r="A40" s="1689" t="s">
        <v>2230</v>
      </c>
      <c r="B40" s="1615"/>
      <c r="C40" s="1664">
        <v>14154</v>
      </c>
      <c r="D40" s="1619"/>
      <c r="E40" s="1664">
        <v>14120</v>
      </c>
      <c r="G40" s="1658"/>
      <c r="H40" s="1690"/>
      <c r="I40" s="1658">
        <v>14521</v>
      </c>
      <c r="J40" s="1690"/>
      <c r="K40" s="1691"/>
      <c r="M40" s="1657"/>
    </row>
    <row r="41" spans="1:13" s="1588" customFormat="1" x14ac:dyDescent="0.2">
      <c r="A41" s="1689" t="s">
        <v>2231</v>
      </c>
      <c r="B41" s="1615"/>
      <c r="C41" s="1662">
        <v>0.65600000000000003</v>
      </c>
      <c r="D41" s="1619"/>
      <c r="E41" s="1662">
        <v>0.65600000000000003</v>
      </c>
      <c r="G41" s="1663"/>
      <c r="H41" s="1690"/>
      <c r="I41" s="1663"/>
      <c r="J41" s="1690"/>
      <c r="K41" s="1692"/>
      <c r="M41" s="1693"/>
    </row>
    <row r="42" spans="1:13" s="1588" customFormat="1" ht="25.5" customHeight="1" x14ac:dyDescent="0.2">
      <c r="A42" s="1694" t="s">
        <v>2236</v>
      </c>
      <c r="B42" s="1615"/>
      <c r="C42" s="1662">
        <v>0.24</v>
      </c>
      <c r="D42" s="1619"/>
      <c r="E42" s="1662">
        <v>0.249</v>
      </c>
      <c r="G42" s="1663"/>
      <c r="H42" s="1690"/>
      <c r="I42" s="1663"/>
      <c r="J42" s="1690"/>
      <c r="K42" s="1692"/>
      <c r="M42" s="1693"/>
    </row>
    <row r="43" spans="1:13" s="1588" customFormat="1" x14ac:dyDescent="0.2">
      <c r="A43" s="1585" t="s">
        <v>2237</v>
      </c>
      <c r="B43" s="1586"/>
      <c r="C43" s="1619"/>
      <c r="D43" s="1619"/>
      <c r="E43" s="1619"/>
      <c r="G43" s="1652"/>
      <c r="H43" s="1690"/>
      <c r="I43" s="1652"/>
      <c r="J43" s="1690"/>
    </row>
    <row r="44" spans="1:13" s="1588" customFormat="1" x14ac:dyDescent="0.2">
      <c r="A44" s="1651" t="s">
        <v>2238</v>
      </c>
      <c r="B44" s="1586"/>
      <c r="C44" s="1613">
        <v>14</v>
      </c>
      <c r="D44" s="1619"/>
      <c r="E44" s="1613">
        <v>14</v>
      </c>
      <c r="G44" s="1652">
        <v>14</v>
      </c>
      <c r="H44" s="1690"/>
      <c r="I44" s="1652">
        <v>14</v>
      </c>
      <c r="J44" s="1690"/>
      <c r="K44" s="1652">
        <v>14</v>
      </c>
      <c r="M44" s="1613"/>
    </row>
    <row r="45" spans="1:13" s="1588" customFormat="1" x14ac:dyDescent="0.2">
      <c r="A45" s="1651" t="s">
        <v>2235</v>
      </c>
      <c r="B45" s="1586"/>
      <c r="C45" s="1613">
        <v>27147</v>
      </c>
      <c r="D45" s="1613"/>
      <c r="E45" s="1613">
        <v>27173</v>
      </c>
      <c r="F45" s="1621"/>
      <c r="G45" s="1652">
        <v>27062</v>
      </c>
      <c r="H45" s="1652"/>
      <c r="I45" s="1652">
        <v>27062</v>
      </c>
      <c r="J45" s="1652"/>
      <c r="K45" s="1652">
        <v>26763</v>
      </c>
      <c r="M45" s="1652"/>
    </row>
    <row r="46" spans="1:13" s="1584" customFormat="1" x14ac:dyDescent="0.2">
      <c r="A46" s="1582" t="s">
        <v>2239</v>
      </c>
      <c r="B46" s="1583"/>
      <c r="C46" s="1619"/>
      <c r="D46" s="1619"/>
      <c r="E46" s="1620"/>
      <c r="G46" s="1652"/>
      <c r="H46" s="1695"/>
      <c r="I46" s="1652"/>
      <c r="J46" s="1695"/>
    </row>
    <row r="47" spans="1:13" s="1588" customFormat="1" x14ac:dyDescent="0.2">
      <c r="A47" s="1585" t="s">
        <v>2240</v>
      </c>
      <c r="B47" s="1586"/>
      <c r="C47" s="1613">
        <v>41</v>
      </c>
      <c r="D47" s="1619"/>
      <c r="E47" s="1616">
        <v>41</v>
      </c>
      <c r="F47" s="1617"/>
      <c r="G47" s="1668">
        <v>41</v>
      </c>
      <c r="H47" s="1696"/>
      <c r="I47" s="1668">
        <v>41</v>
      </c>
      <c r="J47" s="1696"/>
      <c r="K47" s="1668">
        <v>43</v>
      </c>
      <c r="M47" s="1371"/>
    </row>
    <row r="48" spans="1:13" s="1588" customFormat="1" x14ac:dyDescent="0.2">
      <c r="A48" s="1651" t="s">
        <v>2241</v>
      </c>
      <c r="B48" s="1586"/>
      <c r="C48" s="1613">
        <v>28</v>
      </c>
      <c r="D48" s="1619"/>
      <c r="E48" s="1616">
        <v>28</v>
      </c>
      <c r="F48" s="1617"/>
      <c r="G48" s="1668">
        <v>28</v>
      </c>
      <c r="H48" s="1696"/>
      <c r="I48" s="1668">
        <v>28</v>
      </c>
      <c r="J48" s="1696"/>
      <c r="K48" s="1668">
        <v>29</v>
      </c>
      <c r="M48" s="1371"/>
    </row>
    <row r="49" spans="1:13" s="1588" customFormat="1" x14ac:dyDescent="0.2">
      <c r="A49" s="1651" t="s">
        <v>2242</v>
      </c>
      <c r="B49" s="1586"/>
      <c r="C49" s="1613">
        <v>13</v>
      </c>
      <c r="D49" s="1619"/>
      <c r="E49" s="1616">
        <v>13</v>
      </c>
      <c r="F49" s="1617"/>
      <c r="G49" s="1668">
        <v>13</v>
      </c>
      <c r="H49" s="1696"/>
      <c r="I49" s="1668">
        <v>13</v>
      </c>
      <c r="J49" s="1696"/>
      <c r="K49" s="1668">
        <v>14</v>
      </c>
      <c r="M49" s="1371"/>
    </row>
    <row r="50" spans="1:13" s="1588" customFormat="1" x14ac:dyDescent="0.2">
      <c r="A50" s="1585" t="s">
        <v>2243</v>
      </c>
      <c r="B50" s="1586"/>
      <c r="C50" s="1613">
        <v>17361</v>
      </c>
      <c r="D50" s="1619"/>
      <c r="E50" s="1616">
        <v>18201</v>
      </c>
      <c r="F50" s="1617"/>
      <c r="G50" s="1668">
        <v>18501</v>
      </c>
      <c r="H50" s="1696"/>
      <c r="I50" s="1668">
        <v>19145</v>
      </c>
      <c r="J50" s="1696"/>
      <c r="K50" s="1668">
        <v>19510</v>
      </c>
      <c r="M50" s="1371"/>
    </row>
    <row r="51" spans="1:13" s="1588" customFormat="1" x14ac:dyDescent="0.2">
      <c r="A51" s="1651" t="s">
        <v>2244</v>
      </c>
      <c r="B51" s="1586"/>
      <c r="C51" s="1613">
        <v>13056</v>
      </c>
      <c r="D51" s="1619"/>
      <c r="E51" s="1616">
        <v>13478</v>
      </c>
      <c r="F51" s="1617"/>
      <c r="G51" s="1668">
        <v>13750</v>
      </c>
      <c r="H51" s="1696"/>
      <c r="I51" s="1668">
        <v>13800</v>
      </c>
      <c r="J51" s="1696"/>
      <c r="K51" s="1668">
        <v>14000</v>
      </c>
      <c r="M51" s="1371"/>
    </row>
    <row r="52" spans="1:13" s="1588" customFormat="1" x14ac:dyDescent="0.2">
      <c r="A52" s="1651" t="s">
        <v>2245</v>
      </c>
      <c r="B52" s="1586"/>
      <c r="C52" s="1613">
        <v>239</v>
      </c>
      <c r="D52" s="1619"/>
      <c r="E52" s="1616">
        <v>309</v>
      </c>
      <c r="F52" s="1617"/>
      <c r="G52" s="1668">
        <v>251</v>
      </c>
      <c r="H52" s="1696"/>
      <c r="I52" s="1668">
        <v>267</v>
      </c>
      <c r="J52" s="1696"/>
      <c r="K52" s="1668">
        <v>310</v>
      </c>
      <c r="M52" s="1371"/>
    </row>
    <row r="53" spans="1:13" s="1588" customFormat="1" x14ac:dyDescent="0.2">
      <c r="A53" s="1651" t="s">
        <v>2246</v>
      </c>
      <c r="B53" s="1586"/>
      <c r="C53" s="1613">
        <v>4066</v>
      </c>
      <c r="D53" s="1619"/>
      <c r="E53" s="1616">
        <v>4414</v>
      </c>
      <c r="F53" s="1617"/>
      <c r="G53" s="1668">
        <v>4500</v>
      </c>
      <c r="H53" s="1696"/>
      <c r="I53" s="1668">
        <v>4500</v>
      </c>
      <c r="J53" s="1696"/>
      <c r="K53" s="1668">
        <v>4600</v>
      </c>
      <c r="M53" s="1371"/>
    </row>
    <row r="54" spans="1:13" s="1588" customFormat="1" x14ac:dyDescent="0.2">
      <c r="A54" s="1651" t="s">
        <v>3069</v>
      </c>
      <c r="B54" s="1586"/>
      <c r="C54" s="1613">
        <v>0</v>
      </c>
      <c r="D54" s="1619"/>
      <c r="E54" s="1616">
        <v>0</v>
      </c>
      <c r="F54" s="1617"/>
      <c r="G54" s="1668"/>
      <c r="H54" s="1696"/>
      <c r="I54" s="1668">
        <v>578</v>
      </c>
      <c r="J54" s="1696"/>
      <c r="K54" s="1668">
        <v>600</v>
      </c>
      <c r="M54" s="1371"/>
    </row>
    <row r="55" spans="1:13" s="1588" customFormat="1" x14ac:dyDescent="0.2">
      <c r="A55" s="1585"/>
      <c r="B55" s="1586"/>
      <c r="C55" s="1619"/>
      <c r="D55" s="1619"/>
      <c r="E55" s="1619"/>
      <c r="G55" s="1652"/>
      <c r="H55" s="1690"/>
      <c r="I55" s="1652"/>
      <c r="J55" s="1690"/>
    </row>
    <row r="56" spans="1:13" s="1588" customFormat="1" x14ac:dyDescent="0.2">
      <c r="A56" s="1585"/>
      <c r="B56" s="1586"/>
      <c r="C56" s="1619"/>
      <c r="D56" s="1619"/>
      <c r="E56" s="1619"/>
      <c r="G56" s="1652"/>
      <c r="H56" s="1690"/>
      <c r="I56" s="1652"/>
      <c r="J56" s="1690"/>
    </row>
    <row r="57" spans="1:13" s="1584" customFormat="1" x14ac:dyDescent="0.2">
      <c r="A57" s="1582" t="s">
        <v>194</v>
      </c>
      <c r="B57" s="1583"/>
      <c r="C57" s="1619"/>
      <c r="D57" s="1619"/>
      <c r="E57" s="1620"/>
      <c r="G57" s="1652"/>
      <c r="H57" s="1695"/>
      <c r="I57" s="1652"/>
      <c r="J57" s="1695"/>
    </row>
    <row r="58" spans="1:13" s="1588" customFormat="1" x14ac:dyDescent="0.2">
      <c r="A58" s="1582" t="s">
        <v>413</v>
      </c>
      <c r="B58" s="1586"/>
      <c r="C58" s="1619"/>
      <c r="D58" s="1619"/>
      <c r="E58" s="1619"/>
      <c r="G58" s="1652"/>
      <c r="H58" s="1690"/>
      <c r="I58" s="1652"/>
      <c r="J58" s="1690"/>
    </row>
    <row r="59" spans="1:13" s="1588" customFormat="1" x14ac:dyDescent="0.2">
      <c r="A59" s="1585" t="s">
        <v>332</v>
      </c>
      <c r="B59" s="1586"/>
      <c r="C59" s="1613">
        <v>3</v>
      </c>
      <c r="D59" s="1619"/>
      <c r="E59" s="1613">
        <v>3</v>
      </c>
      <c r="G59" s="1652"/>
      <c r="H59" s="1690"/>
      <c r="I59" s="1652">
        <v>3</v>
      </c>
      <c r="J59" s="1690"/>
      <c r="K59" s="1621"/>
      <c r="M59" s="1371"/>
    </row>
    <row r="60" spans="1:13" s="1588" customFormat="1" x14ac:dyDescent="0.2">
      <c r="A60" s="1585" t="s">
        <v>256</v>
      </c>
      <c r="B60" s="1586"/>
      <c r="C60" s="1662">
        <v>0.16700000000000001</v>
      </c>
      <c r="D60" s="1619"/>
      <c r="E60" s="1662">
        <v>0.16700000000000001</v>
      </c>
      <c r="G60" s="1663"/>
      <c r="H60" s="1690"/>
      <c r="I60" s="1663">
        <v>0.16700000000000001</v>
      </c>
      <c r="J60" s="1690"/>
      <c r="K60" s="1692"/>
      <c r="M60" s="1372"/>
    </row>
    <row r="61" spans="1:13" s="1588" customFormat="1" x14ac:dyDescent="0.2">
      <c r="A61" s="1585" t="s">
        <v>257</v>
      </c>
      <c r="B61" s="1586"/>
      <c r="C61" s="1613">
        <v>4</v>
      </c>
      <c r="D61" s="1619"/>
      <c r="E61" s="1613">
        <v>4</v>
      </c>
      <c r="G61" s="1652"/>
      <c r="H61" s="1690"/>
      <c r="I61" s="1652">
        <v>7</v>
      </c>
      <c r="J61" s="1690"/>
      <c r="K61" s="1621"/>
      <c r="M61" s="1371"/>
    </row>
    <row r="62" spans="1:13" s="1588" customFormat="1" x14ac:dyDescent="0.2">
      <c r="A62" s="1585" t="s">
        <v>258</v>
      </c>
      <c r="B62" s="1586"/>
      <c r="C62" s="1662">
        <v>0.222</v>
      </c>
      <c r="D62" s="1619"/>
      <c r="E62" s="1662">
        <v>0.222</v>
      </c>
      <c r="G62" s="1663"/>
      <c r="H62" s="1690"/>
      <c r="I62" s="1663">
        <v>0.38900000000000001</v>
      </c>
      <c r="J62" s="1690"/>
      <c r="K62" s="1692"/>
      <c r="M62" s="1372"/>
    </row>
    <row r="63" spans="1:13" s="1588" customFormat="1" x14ac:dyDescent="0.2">
      <c r="A63" s="1585" t="s">
        <v>259</v>
      </c>
      <c r="B63" s="1586"/>
      <c r="C63" s="1613">
        <v>7</v>
      </c>
      <c r="D63" s="1619"/>
      <c r="E63" s="1613">
        <v>7</v>
      </c>
      <c r="G63" s="1652"/>
      <c r="H63" s="1690"/>
      <c r="I63" s="1652">
        <v>10</v>
      </c>
      <c r="J63" s="1690"/>
      <c r="K63" s="1621"/>
      <c r="M63" s="1371"/>
    </row>
    <row r="64" spans="1:13" s="1588" customFormat="1" x14ac:dyDescent="0.2">
      <c r="A64" s="1585" t="s">
        <v>260</v>
      </c>
      <c r="B64" s="1586"/>
      <c r="C64" s="1373">
        <v>0.38900000000000001</v>
      </c>
      <c r="D64" s="1373"/>
      <c r="E64" s="1662">
        <v>0.38900000000000001</v>
      </c>
      <c r="G64" s="1663"/>
      <c r="H64" s="1690"/>
      <c r="I64" s="1663">
        <v>0.55600000000000005</v>
      </c>
      <c r="J64" s="1690"/>
      <c r="K64" s="1692"/>
      <c r="M64" s="1372"/>
    </row>
    <row r="65" spans="1:14" s="1584" customFormat="1" x14ac:dyDescent="0.2">
      <c r="A65" s="1582" t="s">
        <v>211</v>
      </c>
      <c r="B65" s="1583"/>
      <c r="C65" s="1619"/>
      <c r="D65" s="1619"/>
      <c r="E65" s="1620"/>
      <c r="G65" s="1652"/>
      <c r="H65" s="1695"/>
      <c r="I65" s="1652"/>
      <c r="J65" s="1695"/>
    </row>
    <row r="66" spans="1:14" s="1584" customFormat="1" x14ac:dyDescent="0.2">
      <c r="A66" s="1582" t="s">
        <v>195</v>
      </c>
      <c r="B66" s="1583"/>
      <c r="C66" s="1619"/>
      <c r="D66" s="1619"/>
      <c r="E66" s="1620"/>
      <c r="G66" s="1652"/>
      <c r="H66" s="1695"/>
      <c r="I66" s="1652"/>
      <c r="J66" s="1695"/>
    </row>
    <row r="67" spans="1:14" s="1588" customFormat="1" x14ac:dyDescent="0.2">
      <c r="A67" s="1647" t="s">
        <v>196</v>
      </c>
      <c r="B67" s="1586"/>
      <c r="C67" s="1619"/>
      <c r="D67" s="1619"/>
      <c r="E67" s="1619"/>
      <c r="G67" s="1652"/>
      <c r="H67" s="1690"/>
      <c r="I67" s="1652"/>
      <c r="J67" s="1690"/>
      <c r="M67" s="1621"/>
    </row>
    <row r="68" spans="1:14" s="1588" customFormat="1" x14ac:dyDescent="0.2">
      <c r="A68" s="1585" t="s">
        <v>197</v>
      </c>
      <c r="B68" s="1586"/>
      <c r="C68" s="1613">
        <v>15</v>
      </c>
      <c r="D68" s="1619"/>
      <c r="E68" s="1613">
        <v>15</v>
      </c>
      <c r="G68" s="1652">
        <v>17</v>
      </c>
      <c r="H68" s="1690"/>
      <c r="I68" s="1652">
        <v>15</v>
      </c>
      <c r="J68" s="1690"/>
      <c r="K68" s="1652">
        <v>18</v>
      </c>
      <c r="M68" s="1371"/>
    </row>
    <row r="69" spans="1:14" s="1588" customFormat="1" x14ac:dyDescent="0.2">
      <c r="A69" s="1585" t="s">
        <v>261</v>
      </c>
      <c r="B69" s="1586"/>
      <c r="C69" s="1613">
        <v>3</v>
      </c>
      <c r="D69" s="1619"/>
      <c r="E69" s="1613">
        <v>3</v>
      </c>
      <c r="G69" s="1652">
        <v>3</v>
      </c>
      <c r="H69" s="1690"/>
      <c r="I69" s="1652">
        <v>3</v>
      </c>
      <c r="J69" s="1690"/>
      <c r="K69" s="1652">
        <v>3</v>
      </c>
      <c r="M69" s="1371"/>
    </row>
    <row r="70" spans="1:14" s="1588" customFormat="1" x14ac:dyDescent="0.2">
      <c r="A70" s="1585" t="s">
        <v>198</v>
      </c>
      <c r="B70" s="1586"/>
      <c r="C70" s="1613">
        <v>18</v>
      </c>
      <c r="D70" s="1619"/>
      <c r="E70" s="1613">
        <v>18</v>
      </c>
      <c r="G70" s="1652">
        <v>20</v>
      </c>
      <c r="H70" s="1690"/>
      <c r="I70" s="1652">
        <v>18</v>
      </c>
      <c r="J70" s="1690"/>
      <c r="K70" s="1652">
        <v>21</v>
      </c>
      <c r="M70" s="1371"/>
    </row>
    <row r="71" spans="1:14" s="1588" customFormat="1" x14ac:dyDescent="0.2">
      <c r="A71" s="1647" t="s">
        <v>199</v>
      </c>
      <c r="B71" s="1586"/>
      <c r="C71" s="1619"/>
      <c r="D71" s="1619"/>
      <c r="E71" s="1619"/>
      <c r="G71" s="1652"/>
      <c r="H71" s="1690"/>
      <c r="I71" s="1652"/>
      <c r="J71" s="1690"/>
      <c r="K71" s="1652"/>
    </row>
    <row r="72" spans="1:14" s="1588" customFormat="1" x14ac:dyDescent="0.2">
      <c r="A72" s="1585" t="s">
        <v>2221</v>
      </c>
      <c r="B72" s="1586"/>
      <c r="C72" s="1613">
        <v>15</v>
      </c>
      <c r="D72" s="1619"/>
      <c r="E72" s="1613">
        <v>15</v>
      </c>
      <c r="G72" s="1652">
        <v>16</v>
      </c>
      <c r="H72" s="1690"/>
      <c r="I72" s="1652">
        <v>15</v>
      </c>
      <c r="J72" s="1690"/>
      <c r="K72" s="1652">
        <v>18</v>
      </c>
      <c r="M72" s="1371"/>
    </row>
    <row r="73" spans="1:14" s="1588" customFormat="1" x14ac:dyDescent="0.2">
      <c r="A73" s="1585" t="s">
        <v>2239</v>
      </c>
      <c r="B73" s="1586"/>
      <c r="C73" s="1613">
        <v>3</v>
      </c>
      <c r="D73" s="1619"/>
      <c r="E73" s="1613">
        <v>3</v>
      </c>
      <c r="G73" s="1652">
        <v>4</v>
      </c>
      <c r="H73" s="1690"/>
      <c r="I73" s="1652">
        <v>3</v>
      </c>
      <c r="J73" s="1690"/>
      <c r="K73" s="1652">
        <v>3</v>
      </c>
      <c r="M73" s="1371"/>
    </row>
    <row r="74" spans="1:14" s="1588" customFormat="1" x14ac:dyDescent="0.2">
      <c r="A74" s="1585" t="s">
        <v>198</v>
      </c>
      <c r="B74" s="1586"/>
      <c r="C74" s="1613">
        <v>18</v>
      </c>
      <c r="D74" s="1619"/>
      <c r="E74" s="1613">
        <v>18</v>
      </c>
      <c r="G74" s="1652">
        <v>20</v>
      </c>
      <c r="H74" s="1690"/>
      <c r="I74" s="1652">
        <v>18</v>
      </c>
      <c r="J74" s="1690"/>
      <c r="K74" s="1652">
        <v>21</v>
      </c>
      <c r="M74" s="1371"/>
    </row>
    <row r="75" spans="1:14" s="1584" customFormat="1" x14ac:dyDescent="0.2">
      <c r="A75" s="1582"/>
      <c r="B75" s="1583"/>
      <c r="C75" s="1619"/>
      <c r="D75" s="1619"/>
      <c r="E75" s="1620"/>
      <c r="G75" s="1652"/>
      <c r="H75" s="1695"/>
      <c r="I75" s="1652"/>
      <c r="J75" s="1695"/>
    </row>
    <row r="76" spans="1:14" s="1591" customFormat="1" x14ac:dyDescent="0.2">
      <c r="A76" s="1589"/>
      <c r="B76" s="1590"/>
      <c r="G76" s="1652"/>
      <c r="I76" s="1652"/>
    </row>
    <row r="77" spans="1:14" s="1591" customFormat="1" x14ac:dyDescent="0.2">
      <c r="A77" s="1592" t="s">
        <v>200</v>
      </c>
      <c r="B77" s="1593"/>
      <c r="C77" s="1594"/>
      <c r="D77" s="1595"/>
      <c r="E77" s="1596"/>
      <c r="F77" s="1595"/>
      <c r="G77" s="1596"/>
      <c r="H77" s="1595"/>
      <c r="I77" s="1596"/>
      <c r="J77" s="1595"/>
      <c r="K77" s="1596"/>
      <c r="L77" s="1595"/>
      <c r="M77" s="1594"/>
      <c r="N77" s="1595"/>
    </row>
    <row r="78" spans="1:14" s="1591" customFormat="1" ht="36" customHeight="1" x14ac:dyDescent="0.2">
      <c r="A78" s="1832" t="s">
        <v>218</v>
      </c>
      <c r="B78" s="1832"/>
      <c r="C78" s="1832"/>
      <c r="D78" s="1832"/>
      <c r="E78" s="1832"/>
      <c r="F78" s="1832"/>
      <c r="G78" s="1832"/>
      <c r="H78" s="1832"/>
      <c r="I78" s="1832"/>
      <c r="J78" s="1832"/>
      <c r="K78" s="1832"/>
      <c r="L78" s="1832"/>
      <c r="M78" s="1832"/>
      <c r="N78" s="1595"/>
    </row>
    <row r="79" spans="1:14" s="1591" customFormat="1" ht="21" customHeight="1" x14ac:dyDescent="0.2">
      <c r="A79" s="1833" t="s">
        <v>2247</v>
      </c>
      <c r="B79" s="1765"/>
      <c r="C79" s="1766"/>
      <c r="D79" s="1765"/>
      <c r="E79" s="1766"/>
      <c r="F79" s="1765"/>
      <c r="G79" s="1766"/>
      <c r="H79" s="1765"/>
      <c r="I79" s="1766"/>
      <c r="J79" s="1765"/>
      <c r="K79" s="1766"/>
      <c r="L79" s="1765"/>
      <c r="M79" s="1766"/>
      <c r="N79" s="1765"/>
    </row>
    <row r="80" spans="1:14" s="1591" customFormat="1" ht="21" customHeight="1" x14ac:dyDescent="0.2">
      <c r="A80" s="1833" t="s">
        <v>2248</v>
      </c>
      <c r="B80" s="1765"/>
      <c r="C80" s="1766"/>
      <c r="D80" s="1765"/>
      <c r="E80" s="1766"/>
      <c r="F80" s="1765"/>
      <c r="G80" s="1766"/>
      <c r="H80" s="1765"/>
      <c r="I80" s="1766"/>
      <c r="J80" s="1765"/>
      <c r="K80" s="1766"/>
      <c r="L80" s="1765"/>
      <c r="M80" s="1766"/>
      <c r="N80" s="1765"/>
    </row>
    <row r="81" spans="1:17" ht="21" customHeight="1" x14ac:dyDescent="0.2">
      <c r="A81" s="1821" t="s">
        <v>2164</v>
      </c>
      <c r="B81" s="1736"/>
      <c r="C81" s="1737"/>
      <c r="D81" s="1736"/>
      <c r="E81" s="1737"/>
      <c r="F81" s="1736"/>
      <c r="G81" s="1737"/>
      <c r="H81" s="1736"/>
      <c r="I81" s="1737"/>
      <c r="J81" s="1736"/>
      <c r="K81" s="1737"/>
      <c r="L81" s="1736"/>
      <c r="M81" s="1737"/>
      <c r="N81" s="1736"/>
      <c r="O81" s="54"/>
      <c r="P81" s="54"/>
    </row>
    <row r="82" spans="1:17" ht="20.25" customHeight="1" x14ac:dyDescent="0.2">
      <c r="A82" s="1831"/>
      <c r="B82" s="1736"/>
      <c r="C82" s="1737"/>
      <c r="D82" s="1736"/>
      <c r="E82" s="1737"/>
      <c r="F82" s="1736"/>
      <c r="G82" s="1737"/>
      <c r="H82" s="1736"/>
      <c r="I82" s="1737"/>
      <c r="J82" s="1736"/>
      <c r="K82" s="1737"/>
      <c r="L82" s="1736"/>
      <c r="M82" s="1737"/>
      <c r="N82" s="1736"/>
      <c r="O82" s="54"/>
      <c r="P82" s="54"/>
      <c r="Q82" s="951"/>
    </row>
    <row r="83" spans="1:17" ht="17.25" customHeight="1" x14ac:dyDescent="0.25">
      <c r="A83" s="1697"/>
      <c r="B83" s="1576"/>
      <c r="C83" s="1576"/>
      <c r="D83" s="1576"/>
      <c r="E83" s="1576"/>
      <c r="F83" s="1576"/>
      <c r="G83" s="1576"/>
      <c r="H83" s="1576"/>
      <c r="I83" s="1576"/>
      <c r="J83" s="1576"/>
      <c r="K83" s="1576"/>
      <c r="L83" s="1576"/>
      <c r="M83" s="1576"/>
      <c r="N83" s="1576"/>
      <c r="O83" s="54"/>
      <c r="P83" s="54"/>
    </row>
    <row r="84" spans="1:17" ht="27.75" customHeight="1" x14ac:dyDescent="0.2">
      <c r="A84" s="1820"/>
      <c r="B84" s="1736"/>
      <c r="C84" s="1737"/>
      <c r="D84" s="1736"/>
      <c r="E84" s="1737"/>
      <c r="F84" s="1736"/>
      <c r="G84" s="1737"/>
      <c r="H84" s="1736"/>
      <c r="I84" s="1737"/>
      <c r="J84" s="1736"/>
      <c r="K84" s="1737"/>
      <c r="L84" s="1736"/>
      <c r="M84" s="1737"/>
      <c r="N84" s="1736"/>
      <c r="O84" s="54"/>
      <c r="P84" s="54"/>
    </row>
    <row r="85" spans="1:17" ht="27.75" customHeight="1" x14ac:dyDescent="0.2">
      <c r="A85" s="1820"/>
      <c r="B85" s="1736"/>
      <c r="C85" s="1737"/>
      <c r="D85" s="1736"/>
      <c r="E85" s="1737"/>
      <c r="F85" s="1736"/>
      <c r="G85" s="1737"/>
      <c r="H85" s="1736"/>
      <c r="I85" s="1737"/>
      <c r="J85" s="1736"/>
      <c r="K85" s="1737"/>
      <c r="L85" s="1736"/>
      <c r="M85" s="1737"/>
      <c r="N85" s="1736"/>
      <c r="O85" s="54"/>
      <c r="P85" s="54"/>
    </row>
    <row r="86" spans="1:17" ht="27.75" customHeight="1" x14ac:dyDescent="0.2">
      <c r="A86" s="1820"/>
      <c r="B86" s="1736"/>
      <c r="C86" s="1737"/>
      <c r="D86" s="1736"/>
      <c r="E86" s="1737"/>
      <c r="F86" s="1736"/>
      <c r="G86" s="1737"/>
      <c r="H86" s="1736"/>
      <c r="I86" s="1737"/>
      <c r="J86" s="1736"/>
      <c r="K86" s="1737"/>
      <c r="L86" s="1736"/>
      <c r="M86" s="1737"/>
      <c r="N86" s="1736"/>
      <c r="O86" s="54"/>
      <c r="P86" s="54"/>
    </row>
    <row r="87" spans="1:17" ht="27.75" customHeight="1" x14ac:dyDescent="0.2">
      <c r="A87" s="1820"/>
      <c r="B87" s="1736"/>
      <c r="C87" s="1737"/>
      <c r="D87" s="1736"/>
      <c r="E87" s="1737"/>
      <c r="F87" s="1736"/>
      <c r="G87" s="1737"/>
      <c r="H87" s="1736"/>
      <c r="I87" s="1737"/>
      <c r="J87" s="1736"/>
      <c r="K87" s="1737"/>
      <c r="L87" s="1736"/>
      <c r="M87" s="1737"/>
      <c r="N87" s="1736"/>
      <c r="O87" s="54"/>
      <c r="P87" s="54"/>
    </row>
    <row r="88" spans="1:17" ht="27.75" customHeight="1" x14ac:dyDescent="0.2">
      <c r="A88" s="1820"/>
      <c r="B88" s="1736"/>
      <c r="C88" s="1737"/>
      <c r="D88" s="1736"/>
      <c r="E88" s="1737"/>
      <c r="F88" s="1736"/>
      <c r="G88" s="1737"/>
      <c r="H88" s="1736"/>
      <c r="I88" s="1737"/>
      <c r="J88" s="1736"/>
      <c r="K88" s="1737"/>
      <c r="L88" s="1736"/>
      <c r="M88" s="1737"/>
      <c r="N88" s="1736"/>
      <c r="O88" s="54"/>
      <c r="P88" s="54"/>
    </row>
    <row r="89" spans="1:17" ht="27.75" customHeight="1" x14ac:dyDescent="0.2">
      <c r="A89" s="1820"/>
      <c r="B89" s="1736"/>
      <c r="C89" s="1737"/>
      <c r="D89" s="1736"/>
      <c r="E89" s="1737"/>
      <c r="F89" s="1736"/>
      <c r="G89" s="1737"/>
      <c r="H89" s="1736"/>
      <c r="I89" s="1737"/>
      <c r="J89" s="1736"/>
      <c r="K89" s="1737"/>
      <c r="L89" s="1736"/>
      <c r="M89" s="1737"/>
      <c r="N89" s="1736"/>
      <c r="O89" s="54"/>
      <c r="P89" s="54"/>
    </row>
    <row r="90" spans="1:17" x14ac:dyDescent="0.2">
      <c r="A90" s="1597"/>
      <c r="B90" s="54"/>
      <c r="C90" s="56"/>
      <c r="D90" s="54"/>
      <c r="E90" s="56"/>
      <c r="F90" s="54"/>
      <c r="G90" s="56"/>
      <c r="H90" s="54"/>
      <c r="I90" s="56"/>
      <c r="J90" s="54"/>
      <c r="K90" s="56"/>
      <c r="L90" s="54"/>
      <c r="M90" s="56"/>
      <c r="N90" s="54"/>
      <c r="O90" s="54"/>
      <c r="P90" s="54"/>
    </row>
    <row r="91" spans="1:17" x14ac:dyDescent="0.2">
      <c r="A91" s="1597"/>
      <c r="B91" s="54"/>
      <c r="C91" s="107"/>
      <c r="D91" s="54"/>
      <c r="E91" s="107"/>
      <c r="F91" s="54"/>
      <c r="G91" s="107"/>
      <c r="H91" s="54"/>
      <c r="I91" s="107"/>
      <c r="J91" s="54"/>
      <c r="K91" s="107"/>
      <c r="L91" s="54"/>
      <c r="M91" s="107"/>
      <c r="N91" s="54"/>
      <c r="O91" s="54"/>
      <c r="P91" s="54"/>
    </row>
    <row r="92" spans="1:17" x14ac:dyDescent="0.2">
      <c r="A92" s="1597"/>
      <c r="B92" s="54"/>
      <c r="C92" s="56"/>
      <c r="D92" s="54"/>
      <c r="E92" s="56"/>
      <c r="F92" s="54"/>
      <c r="G92" s="56"/>
      <c r="H92" s="54"/>
      <c r="I92" s="56"/>
      <c r="J92" s="54"/>
      <c r="K92" s="56"/>
      <c r="L92" s="54"/>
      <c r="M92" s="56"/>
      <c r="N92" s="54"/>
      <c r="O92" s="54"/>
      <c r="P92" s="54"/>
    </row>
    <row r="93" spans="1:17" x14ac:dyDescent="0.2">
      <c r="A93" s="1597"/>
      <c r="B93" s="54"/>
      <c r="C93" s="107"/>
      <c r="D93" s="54"/>
      <c r="E93" s="107"/>
      <c r="F93" s="54"/>
      <c r="G93" s="107"/>
      <c r="H93" s="54"/>
      <c r="I93" s="107"/>
      <c r="J93" s="54"/>
      <c r="K93" s="107"/>
      <c r="L93" s="54"/>
      <c r="M93" s="107"/>
      <c r="N93" s="54"/>
      <c r="O93" s="54"/>
      <c r="P93" s="54"/>
    </row>
    <row r="94" spans="1:17" x14ac:dyDescent="0.2">
      <c r="A94" s="1597"/>
      <c r="B94" s="54"/>
      <c r="C94" s="56"/>
      <c r="D94" s="54"/>
      <c r="E94" s="56"/>
      <c r="F94" s="54"/>
      <c r="G94" s="56"/>
      <c r="H94" s="54"/>
      <c r="I94" s="56"/>
      <c r="J94" s="54"/>
      <c r="K94" s="56"/>
      <c r="L94" s="54"/>
      <c r="M94" s="56"/>
      <c r="N94" s="54"/>
      <c r="O94" s="54"/>
      <c r="P94" s="54"/>
    </row>
    <row r="95" spans="1:17" x14ac:dyDescent="0.2">
      <c r="A95" s="1597"/>
      <c r="B95" s="54"/>
      <c r="C95" s="54"/>
      <c r="D95" s="54"/>
      <c r="E95" s="54"/>
      <c r="F95" s="54"/>
      <c r="G95" s="54"/>
      <c r="H95" s="54"/>
      <c r="I95" s="54"/>
      <c r="J95" s="54"/>
      <c r="K95" s="54"/>
      <c r="L95" s="54"/>
      <c r="M95" s="54"/>
      <c r="N95" s="54"/>
      <c r="O95" s="54"/>
      <c r="P95" s="54"/>
    </row>
    <row r="96" spans="1:17" x14ac:dyDescent="0.2">
      <c r="A96" s="1597"/>
      <c r="B96" s="54"/>
      <c r="C96" s="54"/>
      <c r="D96" s="54"/>
      <c r="E96" s="54"/>
      <c r="F96" s="54"/>
      <c r="G96" s="54"/>
      <c r="H96" s="54"/>
      <c r="I96" s="54"/>
      <c r="J96" s="54"/>
      <c r="K96" s="54"/>
      <c r="L96" s="54"/>
      <c r="M96" s="54"/>
      <c r="N96" s="54"/>
      <c r="O96" s="54"/>
      <c r="P96" s="54"/>
    </row>
    <row r="97" spans="1:17" x14ac:dyDescent="0.2">
      <c r="A97" s="1597"/>
      <c r="B97" s="54"/>
      <c r="C97" s="54"/>
      <c r="D97" s="54"/>
      <c r="E97" s="54"/>
      <c r="F97" s="54"/>
      <c r="G97" s="54"/>
      <c r="H97" s="54"/>
      <c r="I97" s="54"/>
      <c r="J97" s="54"/>
      <c r="K97" s="54"/>
      <c r="L97" s="54"/>
      <c r="M97" s="54"/>
      <c r="N97" s="54"/>
      <c r="O97" s="54"/>
      <c r="P97" s="54"/>
      <c r="Q97" s="1598"/>
    </row>
    <row r="98" spans="1:17" x14ac:dyDescent="0.2">
      <c r="B98" s="1572"/>
      <c r="C98" s="1572"/>
      <c r="D98" s="1572"/>
      <c r="E98" s="1599"/>
      <c r="F98" s="1599"/>
      <c r="G98" s="1599"/>
      <c r="H98" s="1599"/>
    </row>
    <row r="99" spans="1:17" x14ac:dyDescent="0.2">
      <c r="B99" s="1572"/>
      <c r="C99" s="1572"/>
      <c r="D99" s="1572"/>
      <c r="E99" s="1599"/>
      <c r="F99" s="1599"/>
      <c r="G99" s="1599"/>
      <c r="H99" s="1599"/>
    </row>
    <row r="100" spans="1:17" x14ac:dyDescent="0.2">
      <c r="B100" s="1572"/>
      <c r="C100" s="1572"/>
      <c r="D100" s="1572"/>
      <c r="E100" s="1599"/>
      <c r="F100" s="1599"/>
      <c r="G100" s="1599"/>
      <c r="H100" s="1599"/>
    </row>
    <row r="101" spans="1:17" x14ac:dyDescent="0.2">
      <c r="B101" s="1572"/>
      <c r="C101" s="1572"/>
      <c r="D101" s="1572"/>
      <c r="E101" s="1599"/>
      <c r="F101" s="1599"/>
      <c r="G101" s="1599"/>
      <c r="H101" s="1599"/>
    </row>
    <row r="102" spans="1:17" x14ac:dyDescent="0.2">
      <c r="B102" s="1572"/>
      <c r="C102" s="1572"/>
      <c r="D102" s="1572"/>
      <c r="E102" s="1599"/>
      <c r="F102" s="1599"/>
      <c r="G102" s="1599"/>
      <c r="H102" s="1599"/>
    </row>
    <row r="103" spans="1:17" x14ac:dyDescent="0.2">
      <c r="B103" s="1572"/>
      <c r="C103" s="1572"/>
      <c r="D103" s="1572"/>
      <c r="E103" s="1599"/>
      <c r="F103" s="1599"/>
      <c r="G103" s="1599"/>
      <c r="H103" s="1599"/>
    </row>
    <row r="104" spans="1:17" x14ac:dyDescent="0.2">
      <c r="B104" s="1572"/>
      <c r="C104" s="1572"/>
      <c r="D104" s="1572"/>
      <c r="E104" s="1599"/>
      <c r="F104" s="1599"/>
      <c r="G104" s="1599"/>
      <c r="H104" s="1599"/>
    </row>
    <row r="105" spans="1:17" x14ac:dyDescent="0.2">
      <c r="B105" s="1572"/>
      <c r="C105" s="1572"/>
      <c r="D105" s="1572"/>
      <c r="E105" s="1599"/>
      <c r="F105" s="1599"/>
      <c r="G105" s="1599"/>
      <c r="H105" s="1599"/>
    </row>
    <row r="106" spans="1:17" x14ac:dyDescent="0.2">
      <c r="B106" s="1572"/>
      <c r="C106" s="1572"/>
      <c r="D106" s="1572"/>
      <c r="E106" s="1599"/>
      <c r="F106" s="1599"/>
      <c r="G106" s="1599"/>
      <c r="H106" s="1599"/>
    </row>
    <row r="107" spans="1:17" x14ac:dyDescent="0.2">
      <c r="B107" s="1572"/>
      <c r="C107" s="1572"/>
      <c r="D107" s="1572"/>
      <c r="E107" s="1599"/>
      <c r="F107" s="1599"/>
      <c r="G107" s="1599"/>
      <c r="H107" s="1599"/>
    </row>
    <row r="108" spans="1:17" x14ac:dyDescent="0.2">
      <c r="B108" s="1572"/>
      <c r="C108" s="1572"/>
      <c r="D108" s="1572"/>
      <c r="E108" s="1599"/>
      <c r="F108" s="1599"/>
      <c r="G108" s="1599"/>
      <c r="H108" s="1599"/>
    </row>
    <row r="109" spans="1:17" x14ac:dyDescent="0.2">
      <c r="B109" s="1572"/>
      <c r="C109" s="1572"/>
      <c r="D109" s="1572"/>
      <c r="E109" s="1599"/>
      <c r="F109" s="1599"/>
      <c r="G109" s="1599"/>
      <c r="H109" s="1599"/>
    </row>
    <row r="110" spans="1:17" x14ac:dyDescent="0.2">
      <c r="B110" s="1572"/>
      <c r="C110" s="1572"/>
      <c r="D110" s="1572"/>
      <c r="E110" s="1599"/>
      <c r="F110" s="1599"/>
      <c r="G110" s="1599"/>
      <c r="H110" s="1599"/>
    </row>
    <row r="111" spans="1:17" x14ac:dyDescent="0.2">
      <c r="B111" s="1572"/>
      <c r="C111" s="1572"/>
      <c r="D111" s="1572"/>
      <c r="E111" s="1599"/>
      <c r="F111" s="1599"/>
      <c r="G111" s="1599"/>
      <c r="H111" s="1599"/>
    </row>
    <row r="112" spans="1:17" x14ac:dyDescent="0.2">
      <c r="B112" s="1572"/>
      <c r="C112" s="1572"/>
      <c r="D112" s="1572"/>
      <c r="E112" s="1599"/>
      <c r="F112" s="1599"/>
      <c r="G112" s="1599"/>
      <c r="H112" s="1599"/>
    </row>
    <row r="113" spans="2:8" x14ac:dyDescent="0.2">
      <c r="B113" s="1572"/>
      <c r="C113" s="1572"/>
      <c r="D113" s="1572"/>
      <c r="E113" s="1599"/>
      <c r="F113" s="1599"/>
      <c r="G113" s="1599"/>
      <c r="H113" s="1599"/>
    </row>
    <row r="114" spans="2:8" x14ac:dyDescent="0.2">
      <c r="B114" s="1572"/>
      <c r="C114" s="1572"/>
      <c r="D114" s="1572"/>
      <c r="E114" s="1599"/>
      <c r="F114" s="1599"/>
      <c r="G114" s="1599"/>
      <c r="H114" s="1599"/>
    </row>
    <row r="115" spans="2:8" x14ac:dyDescent="0.2">
      <c r="B115" s="1572"/>
      <c r="C115" s="1572"/>
      <c r="D115" s="1572"/>
      <c r="E115" s="1599"/>
      <c r="F115" s="1599"/>
      <c r="G115" s="1599"/>
      <c r="H115" s="1599"/>
    </row>
    <row r="116" spans="2:8" x14ac:dyDescent="0.2">
      <c r="B116" s="1572"/>
      <c r="C116" s="1572"/>
      <c r="D116" s="1572"/>
      <c r="E116" s="1599"/>
      <c r="F116" s="1599"/>
      <c r="G116" s="1599"/>
      <c r="H116" s="1599"/>
    </row>
    <row r="117" spans="2:8" x14ac:dyDescent="0.2">
      <c r="B117" s="1572"/>
      <c r="C117" s="1572"/>
      <c r="D117" s="1572"/>
      <c r="E117" s="1599"/>
      <c r="F117" s="1599"/>
      <c r="G117" s="1599"/>
      <c r="H117" s="1599"/>
    </row>
    <row r="118" spans="2:8" x14ac:dyDescent="0.2">
      <c r="B118" s="1572"/>
      <c r="C118" s="1572"/>
      <c r="D118" s="1572"/>
      <c r="E118" s="1599"/>
      <c r="F118" s="1599"/>
      <c r="G118" s="1599"/>
      <c r="H118" s="1599"/>
    </row>
    <row r="119" spans="2:8" x14ac:dyDescent="0.2">
      <c r="B119" s="1572"/>
      <c r="C119" s="1572"/>
      <c r="D119" s="1572"/>
      <c r="E119" s="1599"/>
      <c r="F119" s="1599"/>
      <c r="G119" s="1599"/>
      <c r="H119" s="1599"/>
    </row>
    <row r="120" spans="2:8" x14ac:dyDescent="0.2">
      <c r="B120" s="1572"/>
      <c r="C120" s="1572"/>
      <c r="D120" s="1572"/>
      <c r="E120" s="1599"/>
      <c r="F120" s="1599"/>
      <c r="G120" s="1599"/>
      <c r="H120" s="1599"/>
    </row>
    <row r="121" spans="2:8" x14ac:dyDescent="0.2">
      <c r="B121" s="1572"/>
      <c r="C121" s="1572"/>
      <c r="D121" s="1572"/>
      <c r="E121" s="1599"/>
      <c r="F121" s="1599"/>
      <c r="G121" s="1599"/>
      <c r="H121" s="1599"/>
    </row>
    <row r="122" spans="2:8" x14ac:dyDescent="0.2">
      <c r="B122" s="1572"/>
      <c r="C122" s="1572"/>
      <c r="D122" s="1572"/>
      <c r="E122" s="1599"/>
      <c r="F122" s="1599"/>
      <c r="G122" s="1599"/>
      <c r="H122" s="1599"/>
    </row>
    <row r="123" spans="2:8" x14ac:dyDescent="0.2">
      <c r="B123" s="1572"/>
      <c r="C123" s="1572"/>
      <c r="D123" s="1572"/>
      <c r="E123" s="1599"/>
      <c r="F123" s="1599"/>
      <c r="G123" s="1599"/>
      <c r="H123" s="1599"/>
    </row>
    <row r="124" spans="2:8" x14ac:dyDescent="0.2">
      <c r="B124" s="1572"/>
      <c r="C124" s="1572"/>
      <c r="D124" s="1572"/>
      <c r="E124" s="1599"/>
      <c r="F124" s="1599"/>
      <c r="G124" s="1599"/>
      <c r="H124" s="1599"/>
    </row>
    <row r="125" spans="2:8" x14ac:dyDescent="0.2">
      <c r="B125" s="1572"/>
      <c r="C125" s="1572"/>
      <c r="D125" s="1572"/>
      <c r="E125" s="1599"/>
      <c r="F125" s="1599"/>
      <c r="G125" s="1599"/>
      <c r="H125" s="1599"/>
    </row>
    <row r="126" spans="2:8" x14ac:dyDescent="0.2">
      <c r="B126" s="1572"/>
      <c r="C126" s="1572"/>
      <c r="D126" s="1572"/>
      <c r="E126" s="1599"/>
      <c r="F126" s="1599"/>
      <c r="G126" s="1599"/>
      <c r="H126" s="1599"/>
    </row>
    <row r="127" spans="2:8" x14ac:dyDescent="0.2">
      <c r="B127" s="1572"/>
    </row>
    <row r="128" spans="2:8" x14ac:dyDescent="0.2">
      <c r="B128" s="1572"/>
    </row>
    <row r="129" spans="2:2" x14ac:dyDescent="0.2">
      <c r="B129" s="1572"/>
    </row>
    <row r="130" spans="2:2" x14ac:dyDescent="0.2">
      <c r="B130" s="1572"/>
    </row>
    <row r="131" spans="2:2" x14ac:dyDescent="0.2">
      <c r="B131" s="1572"/>
    </row>
    <row r="132" spans="2:2" x14ac:dyDescent="0.2">
      <c r="B132" s="1572"/>
    </row>
    <row r="133" spans="2:2" x14ac:dyDescent="0.2">
      <c r="B133" s="1572"/>
    </row>
    <row r="134" spans="2:2" x14ac:dyDescent="0.2">
      <c r="B134" s="1572"/>
    </row>
    <row r="135" spans="2:2" x14ac:dyDescent="0.2">
      <c r="B135" s="1572"/>
    </row>
    <row r="136" spans="2:2" x14ac:dyDescent="0.2">
      <c r="B136" s="1572"/>
    </row>
    <row r="137" spans="2:2" x14ac:dyDescent="0.2">
      <c r="B137" s="1572"/>
    </row>
    <row r="138" spans="2:2" x14ac:dyDescent="0.2">
      <c r="B138" s="1572"/>
    </row>
    <row r="139" spans="2:2" x14ac:dyDescent="0.2">
      <c r="B139" s="1572"/>
    </row>
    <row r="140" spans="2:2" x14ac:dyDescent="0.2">
      <c r="B140" s="1572"/>
    </row>
    <row r="141" spans="2:2" x14ac:dyDescent="0.2">
      <c r="B141" s="1572"/>
    </row>
    <row r="142" spans="2:2" x14ac:dyDescent="0.2">
      <c r="B142" s="1572"/>
    </row>
    <row r="143" spans="2:2" x14ac:dyDescent="0.2">
      <c r="B143" s="1572"/>
    </row>
  </sheetData>
  <mergeCells count="12">
    <mergeCell ref="A85:N85"/>
    <mergeCell ref="A86:N86"/>
    <mergeCell ref="A87:N87"/>
    <mergeCell ref="A88:N88"/>
    <mergeCell ref="A89:N89"/>
    <mergeCell ref="A82:N82"/>
    <mergeCell ref="A84:N84"/>
    <mergeCell ref="K2:K3"/>
    <mergeCell ref="A78:M78"/>
    <mergeCell ref="A79:N79"/>
    <mergeCell ref="A80:N80"/>
    <mergeCell ref="A81:N81"/>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rintOptions horizontalCentered="1"/>
  <pageMargins left="0.25" right="0.25" top="0.4" bottom="0.4" header="0.5" footer="0.5"/>
  <pageSetup scale="64" pageOrder="overThenDown" orientation="portrait" blackAndWhite="1" r:id="rId1"/>
  <headerFooter alignWithMargins="0"/>
  <rowBreaks count="1" manualBreakCount="1">
    <brk id="75" max="1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8">
    <pageSetUpPr fitToPage="1"/>
  </sheetPr>
  <dimension ref="A1:Q10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572" customWidth="1"/>
    <col min="2" max="2" width="7.28515625" style="1573" customWidth="1"/>
    <col min="3" max="3" width="13.7109375" style="1601" customWidth="1"/>
    <col min="4" max="4" width="3" style="1601" customWidth="1"/>
    <col min="5" max="5" width="13.7109375" style="1600" customWidth="1"/>
    <col min="6" max="6" width="2.85546875" style="1602" customWidth="1"/>
    <col min="7" max="7" width="13.7109375" style="1600" hidden="1" customWidth="1"/>
    <col min="8" max="8" width="3.140625" style="1602" hidden="1" customWidth="1"/>
    <col min="9" max="9" width="13.7109375" style="1600" customWidth="1"/>
    <col min="10" max="10" width="3.140625" style="1602" bestFit="1" customWidth="1"/>
    <col min="11" max="11" width="13.7109375" style="1707" customWidth="1"/>
    <col min="12" max="12" width="3.140625" style="1602" bestFit="1" customWidth="1"/>
    <col min="13" max="13" width="13.7109375" style="1600" hidden="1" customWidth="1"/>
    <col min="14" max="14" width="3.140625" style="1602" hidden="1" customWidth="1"/>
    <col min="15" max="15" width="13.7109375" style="1600" customWidth="1"/>
    <col min="16" max="16" width="2.85546875" style="1602" customWidth="1"/>
    <col min="17" max="17" width="3.42578125" style="1576" customWidth="1"/>
    <col min="18" max="16384" width="9.140625" style="1576"/>
  </cols>
  <sheetData>
    <row r="1" spans="1:16" s="1551" customFormat="1" ht="15.75" x14ac:dyDescent="0.2">
      <c r="A1" s="1548" t="s">
        <v>174</v>
      </c>
      <c r="B1" s="1549">
        <v>2019</v>
      </c>
      <c r="C1" s="1550"/>
      <c r="E1" s="1550"/>
      <c r="G1" s="1552"/>
      <c r="I1" s="1552"/>
      <c r="J1" s="1553"/>
      <c r="K1" s="1698"/>
      <c r="L1" s="1553"/>
      <c r="M1" s="1552"/>
      <c r="N1" s="1553"/>
    </row>
    <row r="2" spans="1:16" s="1551" customFormat="1" ht="15.75" x14ac:dyDescent="0.25">
      <c r="A2" s="1548" t="s">
        <v>175</v>
      </c>
      <c r="B2" s="1554" t="s">
        <v>176</v>
      </c>
      <c r="C2" s="1554" t="s">
        <v>0</v>
      </c>
      <c r="D2" s="1553"/>
      <c r="E2" s="1555"/>
      <c r="F2" s="1556"/>
      <c r="G2" s="1555"/>
      <c r="H2" s="1553"/>
      <c r="I2" s="1555"/>
      <c r="J2" s="1553"/>
      <c r="K2" s="1733" t="s">
        <v>171</v>
      </c>
      <c r="L2" s="1553"/>
      <c r="M2" s="1555"/>
      <c r="N2" s="1553"/>
    </row>
    <row r="3" spans="1:16" s="1551" customFormat="1" ht="15.75" x14ac:dyDescent="0.25">
      <c r="A3" s="1548" t="s">
        <v>177</v>
      </c>
      <c r="B3" s="1557" t="s">
        <v>1496</v>
      </c>
      <c r="C3" s="1557" t="s">
        <v>1896</v>
      </c>
      <c r="D3" s="1553"/>
      <c r="E3" s="1558"/>
      <c r="F3" s="1556"/>
      <c r="G3" s="1558"/>
      <c r="H3" s="1553"/>
      <c r="I3" s="1558"/>
      <c r="J3" s="1553"/>
      <c r="K3" s="1734"/>
      <c r="L3" s="1553"/>
      <c r="M3" s="1558"/>
      <c r="N3" s="1553"/>
    </row>
    <row r="4" spans="1:16" s="1551" customFormat="1" ht="15.75" x14ac:dyDescent="0.25">
      <c r="A4" s="1548" t="s">
        <v>180</v>
      </c>
      <c r="B4" s="1557" t="s">
        <v>2249</v>
      </c>
      <c r="C4" s="1557" t="s">
        <v>62</v>
      </c>
      <c r="D4" s="1553"/>
      <c r="E4" s="1558"/>
      <c r="F4" s="1556"/>
      <c r="G4" s="1558"/>
      <c r="H4" s="1553"/>
      <c r="I4" s="1558"/>
      <c r="J4" s="1553"/>
      <c r="K4" s="1698"/>
      <c r="L4" s="1553"/>
      <c r="M4" s="1558"/>
      <c r="N4" s="1553"/>
    </row>
    <row r="5" spans="1:16" s="1551" customFormat="1" ht="15.75" x14ac:dyDescent="0.2">
      <c r="A5" s="1548" t="s">
        <v>183</v>
      </c>
      <c r="B5" s="1559" t="s">
        <v>2250</v>
      </c>
      <c r="C5" s="1559" t="s">
        <v>63</v>
      </c>
      <c r="D5" s="1560"/>
      <c r="E5" s="1561"/>
      <c r="G5" s="1561"/>
      <c r="I5" s="1561"/>
      <c r="K5" s="1699"/>
      <c r="M5" s="1561"/>
    </row>
    <row r="6" spans="1:16" s="1551" customFormat="1" ht="15.75" x14ac:dyDescent="0.25">
      <c r="A6" s="1562" t="s">
        <v>186</v>
      </c>
      <c r="B6" s="1563">
        <v>4</v>
      </c>
      <c r="C6" s="1564"/>
      <c r="D6" s="1565"/>
      <c r="E6" s="1566"/>
      <c r="F6" s="1556"/>
      <c r="G6" s="1555"/>
      <c r="H6" s="1553"/>
      <c r="I6" s="1555"/>
      <c r="J6" s="1553"/>
      <c r="K6" s="1698"/>
      <c r="L6" s="1553"/>
      <c r="M6" s="1555"/>
      <c r="N6" s="1553"/>
    </row>
    <row r="7" spans="1:16" s="1571" customFormat="1" x14ac:dyDescent="0.2">
      <c r="A7" s="1567"/>
      <c r="B7" s="1568"/>
      <c r="C7" s="1569"/>
      <c r="D7" s="1570"/>
      <c r="E7" s="1569"/>
      <c r="F7" s="1570"/>
      <c r="G7" s="1569"/>
      <c r="H7" s="1570"/>
      <c r="I7" s="1569"/>
      <c r="J7" s="1570"/>
      <c r="K7" s="1700" t="s">
        <v>187</v>
      </c>
      <c r="L7" s="1570"/>
      <c r="M7" s="1569" t="s">
        <v>187</v>
      </c>
      <c r="N7" s="1570"/>
    </row>
    <row r="8" spans="1:16" x14ac:dyDescent="0.2">
      <c r="C8" s="1574" t="s">
        <v>188</v>
      </c>
      <c r="D8" s="1575" t="s">
        <v>189</v>
      </c>
      <c r="E8" s="1574" t="s">
        <v>188</v>
      </c>
      <c r="F8" s="1575" t="s">
        <v>189</v>
      </c>
      <c r="G8" s="1574" t="s">
        <v>190</v>
      </c>
      <c r="H8" s="1575" t="s">
        <v>189</v>
      </c>
      <c r="I8" s="1574" t="s">
        <v>191</v>
      </c>
      <c r="J8" s="1575" t="s">
        <v>189</v>
      </c>
      <c r="K8" s="1701" t="s">
        <v>192</v>
      </c>
      <c r="L8" s="1575" t="s">
        <v>189</v>
      </c>
      <c r="M8" s="1574" t="s">
        <v>192</v>
      </c>
      <c r="N8" s="1575" t="s">
        <v>189</v>
      </c>
      <c r="O8" s="1576"/>
      <c r="P8" s="1576"/>
    </row>
    <row r="9" spans="1:16" s="1571" customFormat="1" ht="14.25" x14ac:dyDescent="0.2">
      <c r="A9" s="1577"/>
      <c r="B9" s="1578"/>
      <c r="C9" s="1579" t="str">
        <f>"FY " &amp; FiscalYear - 3</f>
        <v>FY 2016</v>
      </c>
      <c r="D9" s="1580" t="s">
        <v>193</v>
      </c>
      <c r="E9" s="1579" t="str">
        <f>"FY " &amp; FiscalYear - 2</f>
        <v>FY 2017</v>
      </c>
      <c r="F9" s="1580" t="s">
        <v>193</v>
      </c>
      <c r="G9" s="1579" t="str">
        <f>"FY " &amp; FiscalYear - 1</f>
        <v>FY 2018</v>
      </c>
      <c r="H9" s="1580" t="s">
        <v>193</v>
      </c>
      <c r="I9" s="1581" t="str">
        <f>"FY " &amp; FiscalYear - 1</f>
        <v>FY 2018</v>
      </c>
      <c r="J9" s="1580" t="s">
        <v>193</v>
      </c>
      <c r="K9" s="1702" t="str">
        <f>"FY " &amp; FiscalYear</f>
        <v>FY 2019</v>
      </c>
      <c r="L9" s="1580" t="s">
        <v>193</v>
      </c>
      <c r="M9" s="1581" t="str">
        <f>"FY " &amp; FiscalYear + 1</f>
        <v>FY 2020</v>
      </c>
      <c r="N9" s="1580" t="s">
        <v>193</v>
      </c>
    </row>
    <row r="10" spans="1:16" s="1584" customFormat="1" x14ac:dyDescent="0.2">
      <c r="A10" s="1582" t="s">
        <v>222</v>
      </c>
      <c r="B10" s="1583"/>
      <c r="E10" s="1703"/>
    </row>
    <row r="11" spans="1:16" s="1584" customFormat="1" x14ac:dyDescent="0.2">
      <c r="A11" s="1582" t="s">
        <v>2251</v>
      </c>
      <c r="B11" s="1583"/>
      <c r="E11" s="1703"/>
    </row>
    <row r="12" spans="1:16" s="1584" customFormat="1" x14ac:dyDescent="0.2">
      <c r="A12" s="1647" t="s">
        <v>2252</v>
      </c>
      <c r="B12" s="1583"/>
      <c r="E12" s="1703"/>
      <c r="K12" s="1620"/>
    </row>
    <row r="13" spans="1:16" s="1588" customFormat="1" x14ac:dyDescent="0.2">
      <c r="A13" s="1585" t="s">
        <v>2253</v>
      </c>
      <c r="B13" s="1586"/>
      <c r="C13" s="1613">
        <v>2046613</v>
      </c>
      <c r="E13" s="1613">
        <v>2056680</v>
      </c>
      <c r="G13" s="1613">
        <v>2051000</v>
      </c>
      <c r="I13" s="1613">
        <v>2060000</v>
      </c>
      <c r="K13" s="1613">
        <v>2063000</v>
      </c>
      <c r="M13" s="1613"/>
    </row>
    <row r="14" spans="1:16" s="1588" customFormat="1" x14ac:dyDescent="0.2">
      <c r="A14" s="1585" t="s">
        <v>2254</v>
      </c>
      <c r="B14" s="1586"/>
      <c r="C14" s="1613">
        <v>39654</v>
      </c>
      <c r="E14" s="1613">
        <v>47170</v>
      </c>
      <c r="G14" s="1613">
        <v>44000</v>
      </c>
      <c r="I14" s="1613">
        <v>51000</v>
      </c>
      <c r="K14" s="1613">
        <v>55000</v>
      </c>
      <c r="M14" s="1613"/>
    </row>
    <row r="15" spans="1:16" s="1588" customFormat="1" x14ac:dyDescent="0.2">
      <c r="A15" s="1585" t="s">
        <v>2255</v>
      </c>
      <c r="B15" s="1586"/>
      <c r="C15" s="1613">
        <v>32784</v>
      </c>
      <c r="E15" s="1613">
        <v>35778</v>
      </c>
      <c r="G15" s="1613">
        <v>36500</v>
      </c>
      <c r="I15" s="1613">
        <v>38000</v>
      </c>
      <c r="K15" s="1613">
        <v>41000</v>
      </c>
      <c r="M15" s="1613"/>
    </row>
    <row r="16" spans="1:16" s="1588" customFormat="1" x14ac:dyDescent="0.2">
      <c r="A16" s="1585" t="s">
        <v>2256</v>
      </c>
      <c r="B16" s="1586"/>
      <c r="C16" s="1613">
        <v>23113</v>
      </c>
      <c r="E16" s="1613">
        <v>20877</v>
      </c>
      <c r="G16" s="1613">
        <v>23000</v>
      </c>
      <c r="I16" s="1613">
        <v>18000</v>
      </c>
      <c r="K16" s="1613">
        <v>18000</v>
      </c>
      <c r="M16" s="1613"/>
    </row>
    <row r="17" spans="1:13" s="1588" customFormat="1" x14ac:dyDescent="0.2">
      <c r="A17" s="1585" t="s">
        <v>2257</v>
      </c>
      <c r="B17" s="1586"/>
      <c r="C17" s="1613">
        <v>41443</v>
      </c>
      <c r="E17" s="1613">
        <v>82856</v>
      </c>
      <c r="G17" s="1613">
        <v>40000</v>
      </c>
      <c r="I17" s="1613">
        <v>80000</v>
      </c>
      <c r="K17" s="1613">
        <v>80000</v>
      </c>
      <c r="M17" s="1613"/>
    </row>
    <row r="18" spans="1:13" s="1588" customFormat="1" x14ac:dyDescent="0.2">
      <c r="A18" s="1585" t="s">
        <v>2258</v>
      </c>
      <c r="B18" s="1586"/>
      <c r="C18" s="1613">
        <v>15373</v>
      </c>
      <c r="E18" s="1613">
        <v>14614</v>
      </c>
      <c r="G18" s="1613">
        <v>15500</v>
      </c>
      <c r="I18" s="1613">
        <v>14000</v>
      </c>
      <c r="K18" s="1613">
        <v>14000</v>
      </c>
      <c r="M18" s="1613"/>
    </row>
    <row r="19" spans="1:13" s="1588" customFormat="1" x14ac:dyDescent="0.2">
      <c r="A19" s="1585" t="s">
        <v>2259</v>
      </c>
      <c r="B19" s="1586"/>
      <c r="C19" s="1616">
        <v>268538</v>
      </c>
      <c r="D19" s="1617"/>
      <c r="E19" s="1616">
        <v>108616</v>
      </c>
      <c r="G19" s="1613">
        <v>278000</v>
      </c>
      <c r="I19" s="1613">
        <v>109000</v>
      </c>
      <c r="K19" s="1613">
        <v>110000</v>
      </c>
      <c r="M19" s="1613"/>
    </row>
    <row r="20" spans="1:13" s="1588" customFormat="1" x14ac:dyDescent="0.2">
      <c r="A20" s="1585" t="s">
        <v>2260</v>
      </c>
      <c r="B20" s="1586"/>
      <c r="C20" s="1616">
        <v>777013</v>
      </c>
      <c r="D20" s="1617"/>
      <c r="E20" s="1616">
        <v>497600</v>
      </c>
      <c r="G20" s="1613">
        <v>800000</v>
      </c>
      <c r="I20" s="1613">
        <v>498000</v>
      </c>
      <c r="K20" s="1613">
        <v>500000</v>
      </c>
      <c r="M20" s="1621"/>
    </row>
    <row r="21" spans="1:13" s="1588" customFormat="1" x14ac:dyDescent="0.2">
      <c r="A21" s="1585" t="s">
        <v>2261</v>
      </c>
      <c r="B21" s="1586"/>
      <c r="C21" s="1613">
        <v>8724</v>
      </c>
      <c r="E21" s="1613">
        <v>9215</v>
      </c>
      <c r="G21" s="1613">
        <v>9200</v>
      </c>
      <c r="I21" s="1613">
        <v>9500</v>
      </c>
      <c r="K21" s="1613">
        <v>9700</v>
      </c>
      <c r="M21" s="1613"/>
    </row>
    <row r="22" spans="1:13" s="1588" customFormat="1" x14ac:dyDescent="0.2">
      <c r="A22" s="1585" t="s">
        <v>2262</v>
      </c>
      <c r="B22" s="1586"/>
      <c r="C22" s="1613">
        <v>2140653</v>
      </c>
      <c r="E22" s="1613">
        <v>3273152</v>
      </c>
      <c r="G22" s="1613">
        <v>2160000</v>
      </c>
      <c r="I22" s="1613">
        <v>3280000</v>
      </c>
      <c r="K22" s="1613">
        <v>3287000</v>
      </c>
      <c r="M22" s="1613"/>
    </row>
    <row r="23" spans="1:13" s="1588" customFormat="1" x14ac:dyDescent="0.2">
      <c r="A23" s="1647" t="s">
        <v>2263</v>
      </c>
      <c r="B23" s="1586"/>
      <c r="C23" s="1613"/>
      <c r="E23" s="1613"/>
      <c r="G23" s="1613"/>
      <c r="I23" s="1613"/>
      <c r="K23" s="1619"/>
      <c r="M23" s="1613"/>
    </row>
    <row r="24" spans="1:13" s="1588" customFormat="1" x14ac:dyDescent="0.2">
      <c r="A24" s="1585" t="s">
        <v>2253</v>
      </c>
      <c r="B24" s="1586"/>
      <c r="C24" s="1613">
        <v>103747</v>
      </c>
      <c r="E24" s="1613">
        <v>87523</v>
      </c>
      <c r="G24" s="1613">
        <v>89600</v>
      </c>
      <c r="I24" s="1613">
        <v>89300</v>
      </c>
      <c r="K24" s="1613">
        <v>91000</v>
      </c>
      <c r="M24" s="1613"/>
    </row>
    <row r="25" spans="1:13" s="1588" customFormat="1" x14ac:dyDescent="0.2">
      <c r="A25" s="1651" t="s">
        <v>2264</v>
      </c>
      <c r="B25" s="1586"/>
      <c r="C25" s="1613">
        <v>301216</v>
      </c>
      <c r="E25" s="1613">
        <v>277092</v>
      </c>
      <c r="G25" s="1613">
        <v>316400</v>
      </c>
      <c r="I25" s="1613">
        <v>305000</v>
      </c>
      <c r="K25" s="1613">
        <v>340000</v>
      </c>
      <c r="M25" s="1613"/>
    </row>
    <row r="26" spans="1:13" s="1588" customFormat="1" x14ac:dyDescent="0.2">
      <c r="A26" s="1651" t="s">
        <v>2265</v>
      </c>
      <c r="B26" s="1586"/>
      <c r="C26" s="1613">
        <v>11375</v>
      </c>
      <c r="E26" s="1613">
        <v>11605</v>
      </c>
      <c r="G26" s="1613">
        <v>12000</v>
      </c>
      <c r="I26" s="1613">
        <v>11950</v>
      </c>
      <c r="K26" s="1613">
        <v>12100</v>
      </c>
      <c r="M26" s="1613"/>
    </row>
    <row r="27" spans="1:13" s="1588" customFormat="1" x14ac:dyDescent="0.2">
      <c r="A27" s="1651" t="s">
        <v>2266</v>
      </c>
      <c r="B27" s="1586"/>
      <c r="C27" s="1613">
        <v>108</v>
      </c>
      <c r="E27" s="1613">
        <v>66</v>
      </c>
      <c r="G27" s="1613">
        <v>110</v>
      </c>
      <c r="I27" s="1613">
        <v>70</v>
      </c>
      <c r="K27" s="1613">
        <v>70</v>
      </c>
      <c r="M27" s="1613"/>
    </row>
    <row r="28" spans="1:13" s="1588" customFormat="1" x14ac:dyDescent="0.2">
      <c r="A28" s="1651" t="s">
        <v>2267</v>
      </c>
      <c r="B28" s="1586"/>
      <c r="C28" s="1613">
        <v>376</v>
      </c>
      <c r="E28" s="1613">
        <v>514</v>
      </c>
      <c r="G28" s="1613">
        <v>350</v>
      </c>
      <c r="I28" s="1613">
        <v>550</v>
      </c>
      <c r="K28" s="1613">
        <v>550</v>
      </c>
      <c r="M28" s="1613"/>
    </row>
    <row r="29" spans="1:13" s="1588" customFormat="1" x14ac:dyDescent="0.2">
      <c r="A29" s="1651" t="s">
        <v>2268</v>
      </c>
      <c r="B29" s="1586"/>
      <c r="C29" s="1613">
        <v>69291</v>
      </c>
      <c r="E29" s="1613">
        <v>71560</v>
      </c>
      <c r="G29" s="1613">
        <v>72800</v>
      </c>
      <c r="I29" s="1613">
        <v>72800</v>
      </c>
      <c r="K29" s="1613">
        <v>75000</v>
      </c>
      <c r="M29" s="1613"/>
    </row>
    <row r="30" spans="1:13" s="1588" customFormat="1" x14ac:dyDescent="0.2">
      <c r="A30" s="1647" t="s">
        <v>2269</v>
      </c>
      <c r="B30" s="1586"/>
      <c r="C30" s="1613">
        <v>1649137</v>
      </c>
      <c r="E30" s="1613">
        <v>894597</v>
      </c>
      <c r="G30" s="1613">
        <v>1500000</v>
      </c>
      <c r="I30" s="1613">
        <v>950000</v>
      </c>
      <c r="K30" s="1613">
        <v>950000</v>
      </c>
      <c r="M30" s="1613"/>
    </row>
    <row r="31" spans="1:13" s="1588" customFormat="1" x14ac:dyDescent="0.2">
      <c r="A31" s="1647" t="s">
        <v>2270</v>
      </c>
      <c r="B31" s="1586"/>
      <c r="C31" s="1616">
        <v>20959487</v>
      </c>
      <c r="E31" s="1613">
        <v>16734542</v>
      </c>
      <c r="G31" s="1613">
        <v>23500000</v>
      </c>
      <c r="I31" s="1613">
        <v>18000000</v>
      </c>
      <c r="K31" s="1613">
        <v>18500000</v>
      </c>
      <c r="M31" s="1613"/>
    </row>
    <row r="32" spans="1:13" s="1588" customFormat="1" x14ac:dyDescent="0.2">
      <c r="A32" s="1647" t="s">
        <v>2271</v>
      </c>
      <c r="B32" s="1586"/>
      <c r="C32" s="1613">
        <v>356608</v>
      </c>
      <c r="E32" s="1613">
        <v>247292</v>
      </c>
      <c r="G32" s="1613">
        <v>380000</v>
      </c>
      <c r="I32" s="1613">
        <v>250000</v>
      </c>
      <c r="K32" s="1613">
        <v>255000</v>
      </c>
      <c r="M32" s="1613"/>
    </row>
    <row r="33" spans="1:16" s="1588" customFormat="1" x14ac:dyDescent="0.2">
      <c r="A33" s="1585"/>
      <c r="B33" s="1586"/>
      <c r="C33" s="1587"/>
      <c r="E33" s="1613"/>
      <c r="G33" s="1613"/>
      <c r="I33" s="1613"/>
      <c r="K33" s="1619"/>
    </row>
    <row r="34" spans="1:16" s="1584" customFormat="1" x14ac:dyDescent="0.2">
      <c r="A34" s="1582" t="s">
        <v>194</v>
      </c>
      <c r="B34" s="1583"/>
      <c r="C34" s="1704"/>
      <c r="E34" s="1705"/>
      <c r="G34" s="1705"/>
      <c r="I34" s="1705"/>
      <c r="K34" s="1620"/>
    </row>
    <row r="35" spans="1:16" s="1584" customFormat="1" x14ac:dyDescent="0.2">
      <c r="A35" s="1582" t="s">
        <v>195</v>
      </c>
      <c r="B35" s="1583"/>
      <c r="C35" s="1704"/>
      <c r="E35" s="1705"/>
      <c r="G35" s="1705"/>
      <c r="I35" s="1705"/>
      <c r="K35" s="1620"/>
    </row>
    <row r="36" spans="1:16" s="1588" customFormat="1" x14ac:dyDescent="0.2">
      <c r="A36" s="1647" t="s">
        <v>196</v>
      </c>
      <c r="B36" s="1586"/>
      <c r="C36" s="1587"/>
      <c r="E36" s="1613"/>
      <c r="G36" s="1613"/>
      <c r="I36" s="1613"/>
      <c r="K36" s="1619"/>
    </row>
    <row r="37" spans="1:16" s="1588" customFormat="1" x14ac:dyDescent="0.2">
      <c r="A37" s="1585" t="s">
        <v>197</v>
      </c>
      <c r="B37" s="1586"/>
      <c r="C37" s="1652">
        <v>74</v>
      </c>
      <c r="E37" s="1613">
        <v>74</v>
      </c>
      <c r="G37" s="1613">
        <v>74</v>
      </c>
      <c r="I37" s="1613">
        <v>74</v>
      </c>
      <c r="K37" s="1613">
        <v>74</v>
      </c>
      <c r="M37" s="1652"/>
    </row>
    <row r="38" spans="1:16" s="1588" customFormat="1" x14ac:dyDescent="0.2">
      <c r="A38" s="1585" t="s">
        <v>261</v>
      </c>
      <c r="B38" s="1586"/>
      <c r="C38" s="1652">
        <v>35</v>
      </c>
      <c r="E38" s="1613">
        <v>35</v>
      </c>
      <c r="G38" s="1613">
        <v>35</v>
      </c>
      <c r="I38" s="1613">
        <v>35</v>
      </c>
      <c r="K38" s="1613">
        <v>35</v>
      </c>
      <c r="M38" s="1652"/>
    </row>
    <row r="39" spans="1:16" s="1588" customFormat="1" x14ac:dyDescent="0.2">
      <c r="A39" s="1585" t="s">
        <v>198</v>
      </c>
      <c r="B39" s="1586"/>
      <c r="C39" s="1652">
        <f>SUM(C37:C38)</f>
        <v>109</v>
      </c>
      <c r="E39" s="1652">
        <f>SUM(E37:E38)</f>
        <v>109</v>
      </c>
      <c r="G39" s="1613">
        <v>109</v>
      </c>
      <c r="I39" s="1613">
        <v>109</v>
      </c>
      <c r="K39" s="1613">
        <v>109</v>
      </c>
      <c r="M39" s="1652"/>
    </row>
    <row r="40" spans="1:16" s="1588" customFormat="1" x14ac:dyDescent="0.2">
      <c r="A40" s="1647" t="s">
        <v>199</v>
      </c>
      <c r="B40" s="1586"/>
      <c r="C40" s="1652"/>
      <c r="E40" s="1652"/>
      <c r="G40" s="1613"/>
      <c r="I40" s="1613"/>
      <c r="K40" s="1619"/>
      <c r="M40" s="1652"/>
    </row>
    <row r="41" spans="1:16" s="1588" customFormat="1" x14ac:dyDescent="0.2">
      <c r="A41" s="1585" t="s">
        <v>2251</v>
      </c>
      <c r="B41" s="1586"/>
      <c r="C41" s="1652">
        <f>C39</f>
        <v>109</v>
      </c>
      <c r="E41" s="1652">
        <f>E39</f>
        <v>109</v>
      </c>
      <c r="G41" s="1613">
        <v>109</v>
      </c>
      <c r="I41" s="1613">
        <v>109</v>
      </c>
      <c r="K41" s="1613">
        <v>109</v>
      </c>
      <c r="M41" s="1652"/>
    </row>
    <row r="42" spans="1:16" s="1584" customFormat="1" x14ac:dyDescent="0.2">
      <c r="A42" s="1582"/>
      <c r="B42" s="1583"/>
      <c r="E42" s="1705"/>
    </row>
    <row r="43" spans="1:16" s="1591" customFormat="1" x14ac:dyDescent="0.2">
      <c r="A43" s="1589"/>
      <c r="B43" s="1590"/>
      <c r="E43" s="1706"/>
    </row>
    <row r="44" spans="1:16" s="1591" customFormat="1" x14ac:dyDescent="0.2">
      <c r="A44" s="1592" t="s">
        <v>200</v>
      </c>
      <c r="B44" s="1593"/>
      <c r="C44" s="1594"/>
      <c r="D44" s="1595"/>
      <c r="E44" s="1596"/>
      <c r="F44" s="1595"/>
      <c r="G44" s="1596"/>
      <c r="H44" s="1595"/>
      <c r="I44" s="1596"/>
      <c r="J44" s="1595"/>
      <c r="K44" s="1669"/>
      <c r="L44" s="1595"/>
      <c r="M44" s="1594"/>
      <c r="N44" s="1595"/>
    </row>
    <row r="45" spans="1:16" ht="27.75" customHeight="1" x14ac:dyDescent="0.2">
      <c r="A45" s="1821"/>
      <c r="B45" s="1736"/>
      <c r="C45" s="1737"/>
      <c r="D45" s="1736"/>
      <c r="E45" s="1737"/>
      <c r="F45" s="1736"/>
      <c r="G45" s="1737"/>
      <c r="H45" s="1736"/>
      <c r="I45" s="1737"/>
      <c r="J45" s="1736"/>
      <c r="K45" s="1737"/>
      <c r="L45" s="1736"/>
      <c r="M45" s="1737"/>
      <c r="N45" s="1736"/>
      <c r="O45" s="54"/>
      <c r="P45" s="54"/>
    </row>
    <row r="46" spans="1:16" ht="27.75" customHeight="1" x14ac:dyDescent="0.2">
      <c r="A46" s="1820"/>
      <c r="B46" s="1736"/>
      <c r="C46" s="1737"/>
      <c r="D46" s="1736"/>
      <c r="E46" s="1737"/>
      <c r="F46" s="1736"/>
      <c r="G46" s="1737"/>
      <c r="H46" s="1736"/>
      <c r="I46" s="1737"/>
      <c r="J46" s="1736"/>
      <c r="K46" s="1737"/>
      <c r="L46" s="1736"/>
      <c r="M46" s="1737"/>
      <c r="N46" s="1736"/>
      <c r="O46" s="54"/>
      <c r="P46" s="54"/>
    </row>
    <row r="47" spans="1:16" ht="27.75" customHeight="1" x14ac:dyDescent="0.2">
      <c r="A47" s="1820"/>
      <c r="B47" s="1736"/>
      <c r="C47" s="1737"/>
      <c r="D47" s="1736"/>
      <c r="E47" s="1737"/>
      <c r="F47" s="1736"/>
      <c r="G47" s="1737"/>
      <c r="H47" s="1736"/>
      <c r="I47" s="1737"/>
      <c r="J47" s="1736"/>
      <c r="K47" s="1737"/>
      <c r="L47" s="1736"/>
      <c r="M47" s="1737"/>
      <c r="N47" s="1736"/>
      <c r="O47" s="54"/>
      <c r="P47" s="54"/>
    </row>
    <row r="48" spans="1:16" ht="27.75" customHeight="1" x14ac:dyDescent="0.2">
      <c r="A48" s="1820"/>
      <c r="B48" s="1736"/>
      <c r="C48" s="1737"/>
      <c r="D48" s="1736"/>
      <c r="E48" s="1737"/>
      <c r="F48" s="1736"/>
      <c r="G48" s="1737"/>
      <c r="H48" s="1736"/>
      <c r="I48" s="1737"/>
      <c r="J48" s="1736"/>
      <c r="K48" s="1737"/>
      <c r="L48" s="1736"/>
      <c r="M48" s="1737"/>
      <c r="N48" s="1736"/>
      <c r="O48" s="54"/>
      <c r="P48" s="54"/>
    </row>
    <row r="49" spans="1:17" ht="27.75" customHeight="1" x14ac:dyDescent="0.2">
      <c r="A49" s="1820"/>
      <c r="B49" s="1736"/>
      <c r="C49" s="1737"/>
      <c r="D49" s="1736"/>
      <c r="E49" s="1737"/>
      <c r="F49" s="1736"/>
      <c r="G49" s="1737"/>
      <c r="H49" s="1736"/>
      <c r="I49" s="1737"/>
      <c r="J49" s="1736"/>
      <c r="K49" s="1737"/>
      <c r="L49" s="1736"/>
      <c r="M49" s="1737"/>
      <c r="N49" s="1736"/>
      <c r="O49" s="54"/>
      <c r="P49" s="54"/>
    </row>
    <row r="50" spans="1:17" ht="27.75" customHeight="1" x14ac:dyDescent="0.2">
      <c r="A50" s="1820"/>
      <c r="B50" s="1736"/>
      <c r="C50" s="1737"/>
      <c r="D50" s="1736"/>
      <c r="E50" s="1737"/>
      <c r="F50" s="1736"/>
      <c r="G50" s="1737"/>
      <c r="H50" s="1736"/>
      <c r="I50" s="1737"/>
      <c r="J50" s="1736"/>
      <c r="K50" s="1737"/>
      <c r="L50" s="1736"/>
      <c r="M50" s="1737"/>
      <c r="N50" s="1736"/>
      <c r="O50" s="54"/>
      <c r="P50" s="54"/>
    </row>
    <row r="51" spans="1:17" x14ac:dyDescent="0.2">
      <c r="A51" s="1597"/>
      <c r="B51" s="54"/>
      <c r="C51" s="56"/>
      <c r="D51" s="54"/>
      <c r="E51" s="56"/>
      <c r="F51" s="54"/>
      <c r="G51" s="56"/>
      <c r="H51" s="54"/>
      <c r="I51" s="56"/>
      <c r="J51" s="54"/>
      <c r="K51" s="991"/>
      <c r="L51" s="54"/>
      <c r="M51" s="56"/>
      <c r="N51" s="54"/>
      <c r="O51" s="54"/>
      <c r="P51" s="54"/>
    </row>
    <row r="52" spans="1:17" x14ac:dyDescent="0.2">
      <c r="A52" s="1597"/>
      <c r="B52" s="54"/>
      <c r="C52" s="54"/>
      <c r="D52" s="54"/>
      <c r="E52" s="54"/>
      <c r="F52" s="54"/>
      <c r="G52" s="54"/>
      <c r="H52" s="54"/>
      <c r="I52" s="54"/>
      <c r="J52" s="54"/>
      <c r="K52" s="991"/>
      <c r="L52" s="54"/>
      <c r="M52" s="54"/>
      <c r="N52" s="54"/>
      <c r="O52" s="54"/>
      <c r="P52" s="54"/>
    </row>
    <row r="53" spans="1:17" x14ac:dyDescent="0.2">
      <c r="A53" s="1597"/>
      <c r="B53" s="54"/>
      <c r="C53" s="56"/>
      <c r="D53" s="54"/>
      <c r="E53" s="56"/>
      <c r="F53" s="54"/>
      <c r="G53" s="56"/>
      <c r="H53" s="54"/>
      <c r="I53" s="56"/>
      <c r="J53" s="54"/>
      <c r="K53" s="991"/>
      <c r="L53" s="54"/>
      <c r="M53" s="56"/>
      <c r="N53" s="54"/>
      <c r="O53" s="54"/>
      <c r="P53" s="54"/>
    </row>
    <row r="54" spans="1:17" x14ac:dyDescent="0.2">
      <c r="A54" s="1597"/>
      <c r="B54" s="54"/>
      <c r="C54" s="54"/>
      <c r="D54" s="54"/>
      <c r="E54" s="54"/>
      <c r="F54" s="54"/>
      <c r="G54" s="54"/>
      <c r="H54" s="54"/>
      <c r="I54" s="54"/>
      <c r="J54" s="54"/>
      <c r="K54" s="991"/>
      <c r="L54" s="54"/>
      <c r="M54" s="54"/>
      <c r="N54" s="54"/>
      <c r="O54" s="54"/>
      <c r="P54" s="54"/>
    </row>
    <row r="55" spans="1:17" x14ac:dyDescent="0.2">
      <c r="A55" s="1597"/>
      <c r="B55" s="54"/>
      <c r="C55" s="56"/>
      <c r="D55" s="54"/>
      <c r="E55" s="56"/>
      <c r="F55" s="54"/>
      <c r="G55" s="56"/>
      <c r="H55" s="54"/>
      <c r="I55" s="56"/>
      <c r="J55" s="54"/>
      <c r="K55" s="991"/>
      <c r="L55" s="54"/>
      <c r="M55" s="56"/>
      <c r="N55" s="54"/>
      <c r="O55" s="54"/>
      <c r="P55" s="54"/>
    </row>
    <row r="56" spans="1:17" x14ac:dyDescent="0.2">
      <c r="A56" s="1597"/>
      <c r="B56" s="54"/>
      <c r="C56" s="54"/>
      <c r="D56" s="54"/>
      <c r="E56" s="54"/>
      <c r="F56" s="54"/>
      <c r="G56" s="54"/>
      <c r="H56" s="54"/>
      <c r="I56" s="54"/>
      <c r="J56" s="54"/>
      <c r="K56" s="991"/>
      <c r="L56" s="54"/>
      <c r="M56" s="54"/>
      <c r="N56" s="54"/>
      <c r="O56" s="54"/>
      <c r="P56" s="54"/>
    </row>
    <row r="57" spans="1:17" x14ac:dyDescent="0.2">
      <c r="A57" s="1597"/>
      <c r="B57" s="54"/>
      <c r="C57" s="54"/>
      <c r="D57" s="54"/>
      <c r="E57" s="54"/>
      <c r="F57" s="54"/>
      <c r="G57" s="54"/>
      <c r="H57" s="54"/>
      <c r="I57" s="54"/>
      <c r="J57" s="54"/>
      <c r="K57" s="991"/>
      <c r="L57" s="54"/>
      <c r="M57" s="54"/>
      <c r="N57" s="54"/>
      <c r="O57" s="54"/>
      <c r="P57" s="54"/>
    </row>
    <row r="58" spans="1:17" x14ac:dyDescent="0.2">
      <c r="A58" s="1597"/>
      <c r="B58" s="54"/>
      <c r="C58" s="54"/>
      <c r="D58" s="54"/>
      <c r="E58" s="54"/>
      <c r="F58" s="54"/>
      <c r="G58" s="54"/>
      <c r="H58" s="54"/>
      <c r="I58" s="54"/>
      <c r="J58" s="54"/>
      <c r="K58" s="991"/>
      <c r="L58" s="54"/>
      <c r="M58" s="54"/>
      <c r="N58" s="54"/>
      <c r="O58" s="54"/>
      <c r="P58" s="54"/>
      <c r="Q58" s="1598"/>
    </row>
    <row r="59" spans="1:17" x14ac:dyDescent="0.2">
      <c r="B59" s="1572"/>
      <c r="C59" s="1572"/>
      <c r="D59" s="1572"/>
      <c r="E59" s="1599"/>
      <c r="F59" s="1599"/>
      <c r="G59" s="1599"/>
      <c r="H59" s="1599"/>
    </row>
    <row r="60" spans="1:17" x14ac:dyDescent="0.2">
      <c r="B60" s="1572"/>
      <c r="C60" s="1572"/>
      <c r="D60" s="1572"/>
      <c r="E60" s="1599"/>
      <c r="F60" s="1599"/>
      <c r="G60" s="1599"/>
      <c r="H60" s="1599"/>
    </row>
    <row r="61" spans="1:17" x14ac:dyDescent="0.2">
      <c r="B61" s="1572"/>
      <c r="C61" s="1572"/>
      <c r="D61" s="1572"/>
      <c r="E61" s="1599"/>
      <c r="F61" s="1599"/>
      <c r="G61" s="1599"/>
      <c r="H61" s="1599"/>
    </row>
    <row r="62" spans="1:17" x14ac:dyDescent="0.2">
      <c r="B62" s="1572"/>
      <c r="C62" s="1572"/>
      <c r="D62" s="1572"/>
      <c r="E62" s="1599"/>
      <c r="F62" s="1599"/>
      <c r="G62" s="1599"/>
      <c r="H62" s="1599"/>
    </row>
    <row r="63" spans="1:17" x14ac:dyDescent="0.2">
      <c r="B63" s="1572"/>
      <c r="C63" s="1572"/>
      <c r="D63" s="1572"/>
      <c r="E63" s="1599"/>
      <c r="F63" s="1599"/>
      <c r="G63" s="1599"/>
      <c r="H63" s="1599"/>
    </row>
    <row r="64" spans="1:17" x14ac:dyDescent="0.2">
      <c r="B64" s="1572"/>
      <c r="C64" s="1572"/>
      <c r="D64" s="1572"/>
      <c r="E64" s="1599"/>
      <c r="F64" s="1599"/>
      <c r="G64" s="1599"/>
      <c r="H64" s="1599"/>
    </row>
    <row r="65" spans="2:8" x14ac:dyDescent="0.2">
      <c r="B65" s="1572"/>
      <c r="C65" s="1572"/>
      <c r="D65" s="1572"/>
      <c r="E65" s="1599"/>
      <c r="F65" s="1599"/>
      <c r="G65" s="1599"/>
      <c r="H65" s="1599"/>
    </row>
    <row r="66" spans="2:8" x14ac:dyDescent="0.2">
      <c r="B66" s="1572"/>
      <c r="C66" s="1572"/>
      <c r="D66" s="1572"/>
      <c r="E66" s="1599"/>
      <c r="F66" s="1599"/>
      <c r="G66" s="1599"/>
      <c r="H66" s="1599"/>
    </row>
    <row r="67" spans="2:8" x14ac:dyDescent="0.2">
      <c r="B67" s="1572"/>
      <c r="C67" s="1572"/>
      <c r="D67" s="1572"/>
      <c r="E67" s="1599"/>
      <c r="F67" s="1599"/>
      <c r="G67" s="1599"/>
      <c r="H67" s="1599"/>
    </row>
    <row r="68" spans="2:8" x14ac:dyDescent="0.2">
      <c r="B68" s="1572"/>
      <c r="C68" s="1572"/>
      <c r="D68" s="1572"/>
      <c r="E68" s="1599"/>
      <c r="F68" s="1599"/>
      <c r="G68" s="1599"/>
      <c r="H68" s="1599"/>
    </row>
    <row r="69" spans="2:8" x14ac:dyDescent="0.2">
      <c r="B69" s="1572"/>
      <c r="C69" s="1572"/>
      <c r="D69" s="1572"/>
      <c r="E69" s="1599"/>
      <c r="F69" s="1599"/>
      <c r="G69" s="1599"/>
      <c r="H69" s="1599"/>
    </row>
    <row r="70" spans="2:8" x14ac:dyDescent="0.2">
      <c r="B70" s="1572"/>
      <c r="C70" s="1572"/>
      <c r="D70" s="1572"/>
      <c r="E70" s="1599"/>
      <c r="F70" s="1599"/>
      <c r="G70" s="1599"/>
      <c r="H70" s="1599"/>
    </row>
    <row r="71" spans="2:8" x14ac:dyDescent="0.2">
      <c r="B71" s="1572"/>
      <c r="C71" s="1572"/>
      <c r="D71" s="1572"/>
      <c r="E71" s="1599"/>
      <c r="F71" s="1599"/>
      <c r="G71" s="1599"/>
      <c r="H71" s="1599"/>
    </row>
    <row r="72" spans="2:8" x14ac:dyDescent="0.2">
      <c r="B72" s="1572"/>
      <c r="C72" s="1572"/>
      <c r="D72" s="1572"/>
      <c r="E72" s="1599"/>
      <c r="F72" s="1599"/>
      <c r="G72" s="1599"/>
      <c r="H72" s="1599"/>
    </row>
    <row r="73" spans="2:8" x14ac:dyDescent="0.2">
      <c r="B73" s="1572"/>
      <c r="C73" s="1572"/>
      <c r="D73" s="1572"/>
      <c r="E73" s="1599"/>
      <c r="F73" s="1599"/>
      <c r="G73" s="1599"/>
      <c r="H73" s="1599"/>
    </row>
    <row r="74" spans="2:8" x14ac:dyDescent="0.2">
      <c r="B74" s="1572"/>
      <c r="C74" s="1572"/>
      <c r="D74" s="1572"/>
      <c r="E74" s="1599"/>
      <c r="F74" s="1599"/>
      <c r="G74" s="1599"/>
      <c r="H74" s="1599"/>
    </row>
    <row r="75" spans="2:8" x14ac:dyDescent="0.2">
      <c r="B75" s="1572"/>
      <c r="C75" s="1572"/>
      <c r="D75" s="1572"/>
      <c r="E75" s="1599"/>
      <c r="F75" s="1599"/>
      <c r="G75" s="1599"/>
      <c r="H75" s="1599"/>
    </row>
    <row r="76" spans="2:8" x14ac:dyDescent="0.2">
      <c r="B76" s="1572"/>
      <c r="C76" s="1572"/>
      <c r="D76" s="1572"/>
      <c r="E76" s="1599"/>
      <c r="F76" s="1599"/>
      <c r="G76" s="1599"/>
      <c r="H76" s="1599"/>
    </row>
    <row r="77" spans="2:8" x14ac:dyDescent="0.2">
      <c r="B77" s="1572"/>
      <c r="C77" s="1572"/>
      <c r="D77" s="1572"/>
      <c r="E77" s="1599"/>
      <c r="F77" s="1599"/>
      <c r="G77" s="1599"/>
      <c r="H77" s="1599"/>
    </row>
    <row r="78" spans="2:8" x14ac:dyDescent="0.2">
      <c r="B78" s="1572"/>
      <c r="C78" s="1572"/>
      <c r="D78" s="1572"/>
      <c r="E78" s="1599"/>
      <c r="F78" s="1599"/>
      <c r="G78" s="1599"/>
      <c r="H78" s="1599"/>
    </row>
    <row r="79" spans="2:8" x14ac:dyDescent="0.2">
      <c r="B79" s="1572"/>
      <c r="C79" s="1572"/>
      <c r="D79" s="1572"/>
      <c r="E79" s="1599"/>
      <c r="F79" s="1599"/>
      <c r="G79" s="1599"/>
      <c r="H79" s="1599"/>
    </row>
    <row r="80" spans="2:8" x14ac:dyDescent="0.2">
      <c r="B80" s="1572"/>
      <c r="C80" s="1572"/>
      <c r="D80" s="1572"/>
      <c r="E80" s="1599"/>
      <c r="F80" s="1599"/>
      <c r="G80" s="1599"/>
      <c r="H80" s="1599"/>
    </row>
    <row r="81" spans="2:8" x14ac:dyDescent="0.2">
      <c r="B81" s="1572"/>
      <c r="C81" s="1572"/>
      <c r="D81" s="1572"/>
      <c r="E81" s="1599"/>
      <c r="F81" s="1599"/>
      <c r="G81" s="1599"/>
      <c r="H81" s="1599"/>
    </row>
    <row r="82" spans="2:8" x14ac:dyDescent="0.2">
      <c r="B82" s="1572"/>
      <c r="C82" s="1572"/>
      <c r="D82" s="1572"/>
      <c r="E82" s="1599"/>
      <c r="F82" s="1599"/>
      <c r="G82" s="1599"/>
      <c r="H82" s="1599"/>
    </row>
    <row r="83" spans="2:8" x14ac:dyDescent="0.2">
      <c r="B83" s="1572"/>
      <c r="C83" s="1572"/>
      <c r="D83" s="1572"/>
      <c r="E83" s="1599"/>
      <c r="F83" s="1599"/>
      <c r="G83" s="1599"/>
      <c r="H83" s="1599"/>
    </row>
    <row r="84" spans="2:8" x14ac:dyDescent="0.2">
      <c r="B84" s="1572"/>
      <c r="C84" s="1572"/>
      <c r="D84" s="1572"/>
      <c r="E84" s="1599"/>
      <c r="F84" s="1599"/>
      <c r="G84" s="1599"/>
      <c r="H84" s="1599"/>
    </row>
    <row r="85" spans="2:8" x14ac:dyDescent="0.2">
      <c r="B85" s="1572"/>
      <c r="C85" s="1572"/>
      <c r="D85" s="1572"/>
      <c r="E85" s="1599"/>
      <c r="F85" s="1599"/>
      <c r="G85" s="1599"/>
      <c r="H85" s="1599"/>
    </row>
    <row r="86" spans="2:8" x14ac:dyDescent="0.2">
      <c r="B86" s="1572"/>
      <c r="C86" s="1572"/>
      <c r="D86" s="1572"/>
      <c r="E86" s="1599"/>
      <c r="F86" s="1599"/>
      <c r="G86" s="1599"/>
      <c r="H86" s="1599"/>
    </row>
    <row r="87" spans="2:8" x14ac:dyDescent="0.2">
      <c r="B87" s="1572"/>
      <c r="C87" s="1572"/>
      <c r="D87" s="1572"/>
      <c r="E87" s="1599"/>
      <c r="F87" s="1599"/>
      <c r="G87" s="1599"/>
      <c r="H87" s="1599"/>
    </row>
    <row r="88" spans="2:8" x14ac:dyDescent="0.2">
      <c r="B88" s="1572"/>
    </row>
    <row r="89" spans="2:8" x14ac:dyDescent="0.2">
      <c r="B89" s="1572"/>
    </row>
    <row r="90" spans="2:8" x14ac:dyDescent="0.2">
      <c r="B90" s="1572"/>
    </row>
    <row r="91" spans="2:8" x14ac:dyDescent="0.2">
      <c r="B91" s="1572"/>
    </row>
    <row r="92" spans="2:8" x14ac:dyDescent="0.2">
      <c r="B92" s="1572"/>
    </row>
    <row r="93" spans="2:8" x14ac:dyDescent="0.2">
      <c r="B93" s="1572"/>
    </row>
    <row r="94" spans="2:8" x14ac:dyDescent="0.2">
      <c r="B94" s="1572"/>
    </row>
    <row r="95" spans="2:8" x14ac:dyDescent="0.2">
      <c r="B95" s="1572"/>
    </row>
    <row r="96" spans="2:8" x14ac:dyDescent="0.2">
      <c r="B96" s="1572"/>
    </row>
    <row r="97" spans="2:2" x14ac:dyDescent="0.2">
      <c r="B97" s="1572"/>
    </row>
    <row r="98" spans="2:2" x14ac:dyDescent="0.2">
      <c r="B98" s="1572"/>
    </row>
    <row r="99" spans="2:2" x14ac:dyDescent="0.2">
      <c r="B99" s="1572"/>
    </row>
    <row r="100" spans="2:2" x14ac:dyDescent="0.2">
      <c r="B100" s="1572"/>
    </row>
    <row r="101" spans="2:2" x14ac:dyDescent="0.2">
      <c r="B101" s="1572"/>
    </row>
    <row r="102" spans="2:2" x14ac:dyDescent="0.2">
      <c r="B102" s="1572"/>
    </row>
    <row r="103" spans="2:2" x14ac:dyDescent="0.2">
      <c r="B103" s="1572"/>
    </row>
    <row r="104" spans="2:2" x14ac:dyDescent="0.2">
      <c r="B104" s="1572"/>
    </row>
  </sheetData>
  <mergeCells count="7">
    <mergeCell ref="A49:N49"/>
    <mergeCell ref="A50:N50"/>
    <mergeCell ref="K2:K3"/>
    <mergeCell ref="A45:N45"/>
    <mergeCell ref="A46:N46"/>
    <mergeCell ref="A47:N47"/>
    <mergeCell ref="A48:N48"/>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9">
    <pageSetUpPr fitToPage="1"/>
  </sheetPr>
  <dimension ref="A1:Q10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2249</v>
      </c>
      <c r="C4" s="10" t="s">
        <v>62</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1206"/>
      <c r="D7" s="1207"/>
      <c r="E7" s="1206"/>
      <c r="F7" s="1207"/>
      <c r="G7" s="1206"/>
      <c r="H7" s="1207"/>
      <c r="I7" s="1206"/>
      <c r="J7" s="1207"/>
      <c r="K7" s="1206" t="s">
        <v>187</v>
      </c>
      <c r="L7" s="1207"/>
      <c r="M7" s="22" t="s">
        <v>187</v>
      </c>
      <c r="N7" s="23"/>
    </row>
    <row r="8" spans="1:16" x14ac:dyDescent="0.2">
      <c r="C8" s="1210" t="s">
        <v>188</v>
      </c>
      <c r="D8" s="1211" t="s">
        <v>189</v>
      </c>
      <c r="E8" s="1210" t="s">
        <v>188</v>
      </c>
      <c r="F8" s="1211" t="s">
        <v>189</v>
      </c>
      <c r="G8" s="1210" t="s">
        <v>190</v>
      </c>
      <c r="H8" s="1211" t="s">
        <v>189</v>
      </c>
      <c r="I8" s="1210" t="s">
        <v>191</v>
      </c>
      <c r="J8" s="1211" t="s">
        <v>189</v>
      </c>
      <c r="K8" s="1210" t="s">
        <v>192</v>
      </c>
      <c r="L8" s="1211" t="s">
        <v>189</v>
      </c>
      <c r="M8" s="27" t="s">
        <v>192</v>
      </c>
      <c r="N8" s="28" t="s">
        <v>189</v>
      </c>
      <c r="O8" s="29"/>
      <c r="P8" s="29"/>
    </row>
    <row r="9" spans="1:16" s="24" customFormat="1" ht="14.25" x14ac:dyDescent="0.2">
      <c r="A9" s="30"/>
      <c r="B9" s="31"/>
      <c r="C9" s="1374" t="str">
        <f>"FY " &amp; FiscalYear - 3</f>
        <v>FY 2016</v>
      </c>
      <c r="D9" s="1375" t="s">
        <v>193</v>
      </c>
      <c r="E9" s="1374" t="str">
        <f>"FY " &amp; FiscalYear - 2</f>
        <v>FY 2017</v>
      </c>
      <c r="F9" s="1375" t="s">
        <v>193</v>
      </c>
      <c r="G9" s="1374" t="str">
        <f>"FY " &amp; FiscalYear - 1</f>
        <v>FY 2018</v>
      </c>
      <c r="H9" s="1375" t="s">
        <v>193</v>
      </c>
      <c r="I9" s="1376" t="str">
        <f>"FY " &amp; FiscalYear - 1</f>
        <v>FY 2018</v>
      </c>
      <c r="J9" s="1375" t="s">
        <v>193</v>
      </c>
      <c r="K9" s="1376" t="str">
        <f>"FY " &amp; FiscalYear</f>
        <v>FY 2019</v>
      </c>
      <c r="L9" s="1375" t="s">
        <v>193</v>
      </c>
      <c r="M9" s="34" t="str">
        <f>"FY " &amp; FiscalYear + 1</f>
        <v>FY 2020</v>
      </c>
      <c r="N9" s="33" t="s">
        <v>193</v>
      </c>
    </row>
    <row r="10" spans="1:16" s="37" customFormat="1" x14ac:dyDescent="0.2">
      <c r="A10" s="35" t="s">
        <v>222</v>
      </c>
      <c r="B10" s="36"/>
      <c r="C10" s="827"/>
      <c r="D10" s="106"/>
      <c r="E10" s="142"/>
      <c r="F10" s="142"/>
    </row>
    <row r="11" spans="1:16" s="37" customFormat="1" x14ac:dyDescent="0.2">
      <c r="A11" s="35" t="s">
        <v>2272</v>
      </c>
      <c r="B11" s="36"/>
      <c r="C11" s="827"/>
      <c r="D11" s="106"/>
      <c r="E11" s="142"/>
      <c r="F11" s="142"/>
    </row>
    <row r="12" spans="1:16" s="40" customFormat="1" x14ac:dyDescent="0.2">
      <c r="A12" s="41" t="s">
        <v>2273</v>
      </c>
      <c r="B12" s="39"/>
      <c r="C12" s="392">
        <v>222</v>
      </c>
      <c r="D12" s="106"/>
      <c r="E12" s="392">
        <v>241</v>
      </c>
      <c r="F12" s="148" t="s">
        <v>2274</v>
      </c>
      <c r="G12" s="892">
        <v>225</v>
      </c>
      <c r="I12" s="392">
        <v>225</v>
      </c>
      <c r="J12" s="392"/>
      <c r="K12" s="392">
        <v>225</v>
      </c>
      <c r="M12" s="901"/>
    </row>
    <row r="13" spans="1:16" s="40" customFormat="1" x14ac:dyDescent="0.2">
      <c r="A13" s="90" t="s">
        <v>2275</v>
      </c>
      <c r="B13" s="39"/>
      <c r="C13" s="392">
        <v>215</v>
      </c>
      <c r="D13" s="104"/>
      <c r="E13" s="392">
        <v>213</v>
      </c>
      <c r="F13" s="1377"/>
      <c r="G13" s="77">
        <v>213</v>
      </c>
      <c r="H13" s="77"/>
      <c r="I13" s="392">
        <v>213</v>
      </c>
      <c r="J13" s="392"/>
      <c r="K13" s="392">
        <v>215</v>
      </c>
      <c r="M13" s="76"/>
    </row>
    <row r="14" spans="1:16" s="40" customFormat="1" x14ac:dyDescent="0.2">
      <c r="A14" s="90"/>
      <c r="B14" s="39"/>
      <c r="C14" s="827"/>
      <c r="D14" s="106"/>
      <c r="E14" s="1378"/>
      <c r="F14" s="148"/>
      <c r="I14" s="63"/>
      <c r="K14" s="827"/>
      <c r="M14" s="901"/>
    </row>
    <row r="15" spans="1:16" s="37" customFormat="1" x14ac:dyDescent="0.2">
      <c r="A15" s="35" t="s">
        <v>2276</v>
      </c>
      <c r="B15" s="36"/>
      <c r="C15" s="827"/>
      <c r="D15" s="106"/>
      <c r="E15" s="1379"/>
      <c r="F15" s="142"/>
      <c r="I15" s="87"/>
      <c r="K15" s="827"/>
    </row>
    <row r="16" spans="1:16" s="40" customFormat="1" x14ac:dyDescent="0.2">
      <c r="A16" s="41" t="s">
        <v>2277</v>
      </c>
      <c r="B16" s="39"/>
      <c r="C16" s="392">
        <v>155158</v>
      </c>
      <c r="D16" s="104"/>
      <c r="E16" s="392">
        <v>155831</v>
      </c>
      <c r="F16" s="1377"/>
      <c r="G16" s="77">
        <v>161000</v>
      </c>
      <c r="H16" s="77"/>
      <c r="I16" s="76">
        <v>161000</v>
      </c>
      <c r="J16" s="77"/>
      <c r="K16" s="392">
        <v>164205</v>
      </c>
      <c r="M16" s="76"/>
    </row>
    <row r="17" spans="1:15" s="40" customFormat="1" x14ac:dyDescent="0.2">
      <c r="A17" s="90" t="s">
        <v>2278</v>
      </c>
      <c r="B17" s="39"/>
      <c r="C17" s="392">
        <v>17151</v>
      </c>
      <c r="D17" s="104"/>
      <c r="E17" s="104">
        <v>18231</v>
      </c>
      <c r="F17" s="1377"/>
      <c r="G17" s="77">
        <v>17850</v>
      </c>
      <c r="H17" s="77"/>
      <c r="I17" s="76">
        <v>17850</v>
      </c>
      <c r="J17" s="77"/>
      <c r="K17" s="392">
        <v>18200</v>
      </c>
      <c r="M17" s="76"/>
    </row>
    <row r="18" spans="1:15" s="40" customFormat="1" x14ac:dyDescent="0.2">
      <c r="A18" s="90" t="s">
        <v>2279</v>
      </c>
      <c r="B18" s="39"/>
      <c r="C18" s="392">
        <v>16420</v>
      </c>
      <c r="D18" s="104"/>
      <c r="E18" s="104">
        <v>14250</v>
      </c>
      <c r="F18" s="1377"/>
      <c r="G18" s="77">
        <v>17085</v>
      </c>
      <c r="H18" s="77"/>
      <c r="I18" s="76">
        <v>17085</v>
      </c>
      <c r="J18" s="77"/>
      <c r="K18" s="392">
        <v>17425</v>
      </c>
      <c r="M18" s="76"/>
    </row>
    <row r="19" spans="1:15" s="40" customFormat="1" x14ac:dyDescent="0.2">
      <c r="A19" s="90" t="s">
        <v>2280</v>
      </c>
      <c r="B19" s="39"/>
      <c r="C19" s="392">
        <v>9575</v>
      </c>
      <c r="D19" s="104"/>
      <c r="E19" s="104">
        <v>10125</v>
      </c>
      <c r="F19" s="1377"/>
      <c r="G19" s="77">
        <v>10175</v>
      </c>
      <c r="H19" s="77"/>
      <c r="I19" s="76">
        <v>10175</v>
      </c>
      <c r="J19" s="77"/>
      <c r="K19" s="392">
        <v>10375</v>
      </c>
      <c r="M19" s="76"/>
    </row>
    <row r="20" spans="1:15" s="40" customFormat="1" x14ac:dyDescent="0.2">
      <c r="A20" s="90" t="s">
        <v>2281</v>
      </c>
      <c r="B20" s="39"/>
      <c r="C20" s="392">
        <v>5356</v>
      </c>
      <c r="D20" s="104"/>
      <c r="E20" s="104">
        <v>5425</v>
      </c>
      <c r="F20" s="1377"/>
      <c r="G20" s="77">
        <v>5610</v>
      </c>
      <c r="H20" s="77"/>
      <c r="I20" s="76">
        <v>5610</v>
      </c>
      <c r="J20" s="77"/>
      <c r="K20" s="392">
        <v>5720</v>
      </c>
      <c r="M20" s="76"/>
    </row>
    <row r="21" spans="1:15" s="40" customFormat="1" x14ac:dyDescent="0.2">
      <c r="A21" s="90" t="s">
        <v>2282</v>
      </c>
      <c r="B21" s="39"/>
      <c r="C21" s="392">
        <v>106656</v>
      </c>
      <c r="D21" s="104"/>
      <c r="E21" s="104">
        <v>107800</v>
      </c>
      <c r="F21" s="104"/>
      <c r="G21" s="77">
        <v>110280</v>
      </c>
      <c r="H21" s="77"/>
      <c r="I21" s="76">
        <v>110280</v>
      </c>
      <c r="J21" s="77"/>
      <c r="K21" s="392">
        <v>112485</v>
      </c>
      <c r="M21" s="76"/>
    </row>
    <row r="22" spans="1:15" s="40" customFormat="1" x14ac:dyDescent="0.2">
      <c r="A22" s="90"/>
      <c r="B22" s="39"/>
      <c r="C22" s="827"/>
      <c r="D22" s="106"/>
      <c r="E22" s="1378"/>
      <c r="F22" s="148"/>
      <c r="K22" s="827"/>
      <c r="M22" s="901"/>
    </row>
    <row r="23" spans="1:15" s="37" customFormat="1" x14ac:dyDescent="0.2">
      <c r="A23" s="35" t="s">
        <v>194</v>
      </c>
      <c r="B23" s="36"/>
      <c r="C23" s="827"/>
      <c r="D23" s="106"/>
      <c r="E23" s="1379"/>
      <c r="F23" s="142"/>
      <c r="K23" s="827"/>
    </row>
    <row r="24" spans="1:15" s="37" customFormat="1" x14ac:dyDescent="0.2">
      <c r="A24" s="35" t="s">
        <v>195</v>
      </c>
      <c r="B24" s="36"/>
      <c r="C24" s="827"/>
      <c r="D24" s="106"/>
      <c r="E24" s="1379"/>
      <c r="F24" s="142"/>
      <c r="K24" s="827"/>
    </row>
    <row r="25" spans="1:15" s="40" customFormat="1" x14ac:dyDescent="0.2">
      <c r="A25" s="38" t="s">
        <v>196</v>
      </c>
      <c r="B25" s="39"/>
      <c r="C25" s="827"/>
      <c r="D25" s="106"/>
      <c r="E25" s="1378"/>
      <c r="F25" s="148"/>
      <c r="K25" s="827"/>
      <c r="M25" s="45"/>
      <c r="N25" s="45"/>
      <c r="O25" s="45"/>
    </row>
    <row r="26" spans="1:15" s="40" customFormat="1" x14ac:dyDescent="0.2">
      <c r="A26" s="41" t="s">
        <v>197</v>
      </c>
      <c r="B26" s="39"/>
      <c r="C26" s="1120">
        <v>40</v>
      </c>
      <c r="D26" s="106"/>
      <c r="E26" s="1120">
        <v>41</v>
      </c>
      <c r="F26" s="148"/>
      <c r="G26" s="1120">
        <v>41</v>
      </c>
      <c r="I26" s="1120">
        <v>38</v>
      </c>
      <c r="K26" s="1120">
        <v>41</v>
      </c>
      <c r="M26" s="45"/>
      <c r="N26" s="45"/>
      <c r="O26" s="45"/>
    </row>
    <row r="27" spans="1:15" s="40" customFormat="1" x14ac:dyDescent="0.2">
      <c r="A27" s="41" t="s">
        <v>261</v>
      </c>
      <c r="B27" s="39"/>
      <c r="C27" s="1120">
        <v>4</v>
      </c>
      <c r="D27" s="106"/>
      <c r="E27" s="1120">
        <v>4</v>
      </c>
      <c r="F27" s="148"/>
      <c r="G27" s="1120">
        <v>4</v>
      </c>
      <c r="I27" s="1120">
        <v>3</v>
      </c>
      <c r="K27" s="1120">
        <v>4</v>
      </c>
      <c r="M27" s="45"/>
      <c r="N27" s="45"/>
      <c r="O27" s="45"/>
    </row>
    <row r="28" spans="1:15" s="40" customFormat="1" x14ac:dyDescent="0.2">
      <c r="A28" s="41" t="s">
        <v>198</v>
      </c>
      <c r="B28" s="39"/>
      <c r="C28" s="1120">
        <f>C26+C27</f>
        <v>44</v>
      </c>
      <c r="D28" s="106"/>
      <c r="E28" s="1120">
        <v>45</v>
      </c>
      <c r="F28" s="148"/>
      <c r="G28" s="1120">
        <f>SUM(G26:G27)</f>
        <v>45</v>
      </c>
      <c r="I28" s="1120">
        <f>SUM(I26:I27)</f>
        <v>41</v>
      </c>
      <c r="K28" s="1120">
        <f>SUM(K26:K27)</f>
        <v>45</v>
      </c>
      <c r="M28" s="45"/>
      <c r="N28" s="45"/>
      <c r="O28" s="45"/>
    </row>
    <row r="29" spans="1:15" s="40" customFormat="1" x14ac:dyDescent="0.2">
      <c r="A29" s="38" t="s">
        <v>199</v>
      </c>
      <c r="B29" s="39"/>
      <c r="C29" s="827"/>
      <c r="D29" s="106"/>
      <c r="E29" s="827"/>
      <c r="F29" s="148"/>
      <c r="G29" s="827"/>
      <c r="I29" s="827"/>
      <c r="K29" s="827"/>
    </row>
    <row r="30" spans="1:15" s="40" customFormat="1" x14ac:dyDescent="0.2">
      <c r="A30" s="41" t="s">
        <v>2272</v>
      </c>
      <c r="B30" s="39"/>
      <c r="C30" s="1120">
        <v>14</v>
      </c>
      <c r="D30" s="106"/>
      <c r="E30" s="1120">
        <v>14</v>
      </c>
      <c r="F30" s="148"/>
      <c r="G30" s="1120">
        <v>14</v>
      </c>
      <c r="I30" s="1120">
        <v>12</v>
      </c>
      <c r="K30" s="1120">
        <v>14</v>
      </c>
      <c r="M30" s="62"/>
    </row>
    <row r="31" spans="1:15" s="40" customFormat="1" x14ac:dyDescent="0.2">
      <c r="A31" s="41" t="s">
        <v>2276</v>
      </c>
      <c r="B31" s="39"/>
      <c r="C31" s="1120">
        <v>26</v>
      </c>
      <c r="D31" s="106"/>
      <c r="E31" s="1120">
        <v>26</v>
      </c>
      <c r="F31" s="148"/>
      <c r="G31" s="1120">
        <v>26</v>
      </c>
      <c r="I31" s="1120">
        <v>25</v>
      </c>
      <c r="K31" s="1120">
        <v>26</v>
      </c>
      <c r="M31" s="62"/>
    </row>
    <row r="32" spans="1:15" s="40" customFormat="1" x14ac:dyDescent="0.2">
      <c r="A32" s="41" t="s">
        <v>2283</v>
      </c>
      <c r="B32" s="39"/>
      <c r="C32" s="1120">
        <v>4</v>
      </c>
      <c r="D32" s="106"/>
      <c r="E32" s="1120">
        <v>5</v>
      </c>
      <c r="F32" s="148"/>
      <c r="G32" s="1120">
        <v>5</v>
      </c>
      <c r="I32" s="1120">
        <v>4</v>
      </c>
      <c r="K32" s="1120">
        <v>5</v>
      </c>
      <c r="M32" s="62"/>
    </row>
    <row r="33" spans="1:17" s="40" customFormat="1" x14ac:dyDescent="0.2">
      <c r="A33" s="41" t="s">
        <v>198</v>
      </c>
      <c r="B33" s="39"/>
      <c r="C33" s="1120">
        <f>C30+C31+C32</f>
        <v>44</v>
      </c>
      <c r="D33" s="106"/>
      <c r="E33" s="1120">
        <v>45</v>
      </c>
      <c r="F33" s="148"/>
      <c r="G33" s="1120">
        <f>SUM(G30:G32)</f>
        <v>45</v>
      </c>
      <c r="I33" s="1120">
        <f>SUM(I30:I32)</f>
        <v>41</v>
      </c>
      <c r="K33" s="1120">
        <f>SUM(K30:K32)</f>
        <v>45</v>
      </c>
      <c r="M33" s="62"/>
    </row>
    <row r="34" spans="1:17" s="37" customFormat="1" x14ac:dyDescent="0.2">
      <c r="A34" s="35"/>
      <c r="B34" s="36"/>
    </row>
    <row r="35" spans="1:17" s="37" customFormat="1" x14ac:dyDescent="0.2">
      <c r="A35" s="35"/>
      <c r="B35" s="36"/>
    </row>
    <row r="36" spans="1:17" s="37" customFormat="1" x14ac:dyDescent="0.2">
      <c r="A36" s="35"/>
      <c r="B36" s="36"/>
    </row>
    <row r="37" spans="1:17" s="48" customFormat="1" x14ac:dyDescent="0.2">
      <c r="A37" s="46"/>
      <c r="B37" s="47"/>
    </row>
    <row r="38" spans="1:17" s="48" customFormat="1" x14ac:dyDescent="0.2">
      <c r="A38" s="49" t="s">
        <v>200</v>
      </c>
      <c r="B38" s="50"/>
      <c r="C38" s="51"/>
      <c r="D38" s="52"/>
      <c r="E38" s="53"/>
      <c r="F38" s="52"/>
      <c r="G38" s="53"/>
      <c r="H38" s="52"/>
      <c r="I38" s="53"/>
      <c r="J38" s="52"/>
      <c r="K38" s="53"/>
      <c r="L38" s="52"/>
      <c r="M38" s="51"/>
      <c r="N38" s="52"/>
    </row>
    <row r="39" spans="1:17" ht="33" customHeight="1" x14ac:dyDescent="0.2">
      <c r="A39" s="1738" t="s">
        <v>477</v>
      </c>
      <c r="B39" s="1736"/>
      <c r="C39" s="1737"/>
      <c r="D39" s="1736"/>
      <c r="E39" s="1737"/>
      <c r="F39" s="1736"/>
      <c r="G39" s="1737"/>
      <c r="H39" s="1736"/>
      <c r="I39" s="1737"/>
      <c r="J39" s="1736"/>
      <c r="K39" s="1737"/>
      <c r="L39" s="1736"/>
      <c r="M39" s="1737"/>
      <c r="N39" s="1736"/>
      <c r="O39" s="54"/>
      <c r="P39" s="54"/>
      <c r="Q39" s="951"/>
    </row>
    <row r="40" spans="1:17" s="1103" customFormat="1" ht="26.25" customHeight="1" x14ac:dyDescent="0.2">
      <c r="A40" s="1738" t="s">
        <v>2284</v>
      </c>
      <c r="B40" s="1736"/>
      <c r="C40" s="1737"/>
      <c r="D40" s="1736"/>
      <c r="E40" s="1737"/>
      <c r="F40" s="1736"/>
      <c r="G40" s="1737"/>
      <c r="H40" s="1736"/>
      <c r="I40" s="1737"/>
      <c r="J40" s="1736"/>
      <c r="K40" s="1737"/>
      <c r="L40" s="1736"/>
      <c r="M40" s="1737"/>
      <c r="N40" s="1736"/>
      <c r="O40" s="54"/>
      <c r="P40" s="54"/>
      <c r="Q40" s="951"/>
    </row>
    <row r="41" spans="1:17" s="1103" customFormat="1" ht="18.75" customHeight="1" x14ac:dyDescent="0.2">
      <c r="A41" s="1738"/>
      <c r="B41" s="1736"/>
      <c r="C41" s="1737"/>
      <c r="D41" s="1736"/>
      <c r="E41" s="1737"/>
      <c r="F41" s="1736"/>
      <c r="G41" s="1737"/>
      <c r="H41" s="1736"/>
      <c r="I41" s="1737"/>
      <c r="J41" s="1736"/>
      <c r="K41" s="1737"/>
      <c r="L41" s="951"/>
      <c r="M41" s="953"/>
      <c r="N41" s="951"/>
      <c r="O41" s="54"/>
      <c r="P41" s="54"/>
      <c r="Q41" s="951"/>
    </row>
    <row r="42" spans="1:17" ht="45.75" customHeight="1" x14ac:dyDescent="0.2">
      <c r="A42" s="1755"/>
      <c r="B42" s="1736"/>
      <c r="C42" s="1737"/>
      <c r="D42" s="1736"/>
      <c r="E42" s="1737"/>
      <c r="F42" s="1736"/>
      <c r="G42" s="1737"/>
      <c r="H42" s="1736"/>
      <c r="I42" s="1737"/>
      <c r="J42" s="1736"/>
      <c r="K42" s="1737"/>
      <c r="L42" s="1736"/>
      <c r="M42" s="1737"/>
      <c r="N42" s="1736"/>
      <c r="O42" s="54"/>
      <c r="P42" s="54"/>
      <c r="Q42" s="951"/>
    </row>
    <row r="43" spans="1:17" ht="27.75" customHeight="1" x14ac:dyDescent="0.2">
      <c r="A43" s="1756"/>
      <c r="B43" s="1736"/>
      <c r="C43" s="1737"/>
      <c r="D43" s="1736"/>
      <c r="E43" s="1737"/>
      <c r="F43" s="1736"/>
      <c r="G43" s="1737"/>
      <c r="H43" s="1736"/>
      <c r="I43" s="1737"/>
      <c r="J43" s="1736"/>
      <c r="K43" s="1737"/>
      <c r="L43" s="1736"/>
      <c r="M43" s="1737"/>
      <c r="N43" s="1736"/>
      <c r="O43" s="54"/>
      <c r="P43" s="54"/>
    </row>
    <row r="44" spans="1:17" ht="27.75" customHeight="1" x14ac:dyDescent="0.2">
      <c r="A44" s="1735"/>
      <c r="B44" s="1736"/>
      <c r="C44" s="1737"/>
      <c r="D44" s="1736"/>
      <c r="E44" s="1737"/>
      <c r="F44" s="1736"/>
      <c r="G44" s="1737"/>
      <c r="H44" s="1736"/>
      <c r="I44" s="1737"/>
      <c r="J44" s="1736"/>
      <c r="K44" s="1737"/>
      <c r="L44" s="1736"/>
      <c r="M44" s="1737"/>
      <c r="N44" s="1736"/>
      <c r="O44" s="54"/>
      <c r="P44" s="54"/>
    </row>
    <row r="45" spans="1:17" ht="27.75" customHeight="1" x14ac:dyDescent="0.2">
      <c r="A45" s="1735"/>
      <c r="B45" s="1736"/>
      <c r="C45" s="1737"/>
      <c r="D45" s="1736"/>
      <c r="E45" s="1737"/>
      <c r="F45" s="1736"/>
      <c r="G45" s="1737"/>
      <c r="H45" s="1736"/>
      <c r="I45" s="1737"/>
      <c r="J45" s="1736"/>
      <c r="K45" s="1737"/>
      <c r="L45" s="1736"/>
      <c r="M45" s="1737"/>
      <c r="N45" s="1736"/>
      <c r="O45" s="54"/>
      <c r="P45" s="54"/>
    </row>
    <row r="46" spans="1:17" ht="27.75" customHeight="1" x14ac:dyDescent="0.2">
      <c r="A46" s="1735"/>
      <c r="B46" s="1736"/>
      <c r="C46" s="1737"/>
      <c r="D46" s="1736"/>
      <c r="E46" s="1737"/>
      <c r="F46" s="1736"/>
      <c r="G46" s="1737"/>
      <c r="H46" s="1736"/>
      <c r="I46" s="1737"/>
      <c r="J46" s="1736"/>
      <c r="K46" s="1737"/>
      <c r="L46" s="1736"/>
      <c r="M46" s="1737"/>
      <c r="N46" s="1736"/>
      <c r="O46" s="54"/>
      <c r="P46" s="54"/>
    </row>
    <row r="47" spans="1:17" ht="27.75" customHeight="1" x14ac:dyDescent="0.2">
      <c r="A47" s="1735"/>
      <c r="B47" s="1736"/>
      <c r="C47" s="1737"/>
      <c r="D47" s="1736"/>
      <c r="E47" s="1737"/>
      <c r="F47" s="1736"/>
      <c r="G47" s="1737"/>
      <c r="H47" s="1736"/>
      <c r="I47" s="1737"/>
      <c r="J47" s="1736"/>
      <c r="K47" s="1737"/>
      <c r="L47" s="1736"/>
      <c r="M47" s="1737"/>
      <c r="N47" s="1736"/>
      <c r="O47" s="54"/>
      <c r="P47" s="54"/>
    </row>
    <row r="48" spans="1:17" ht="27.75" customHeight="1" x14ac:dyDescent="0.2">
      <c r="A48" s="1735"/>
      <c r="B48" s="1736"/>
      <c r="C48" s="1737"/>
      <c r="D48" s="1736"/>
      <c r="E48" s="1737"/>
      <c r="F48" s="1736"/>
      <c r="G48" s="1737"/>
      <c r="H48" s="1736"/>
      <c r="I48" s="1737"/>
      <c r="J48" s="1736"/>
      <c r="K48" s="1737"/>
      <c r="L48" s="1736"/>
      <c r="M48" s="1737"/>
      <c r="N48" s="1736"/>
      <c r="O48" s="54"/>
      <c r="P48" s="54"/>
    </row>
    <row r="49" spans="1:17" ht="27.75" customHeight="1" x14ac:dyDescent="0.2">
      <c r="A49" s="1735"/>
      <c r="B49" s="1736"/>
      <c r="C49" s="1737"/>
      <c r="D49" s="1736"/>
      <c r="E49" s="1737"/>
      <c r="F49" s="1736"/>
      <c r="G49" s="1737"/>
      <c r="H49" s="1736"/>
      <c r="I49" s="1737"/>
      <c r="J49" s="1736"/>
      <c r="K49" s="1737"/>
      <c r="L49" s="1736"/>
      <c r="M49" s="1737"/>
      <c r="N49" s="1736"/>
      <c r="O49" s="54"/>
      <c r="P49" s="54"/>
    </row>
    <row r="50" spans="1:17" x14ac:dyDescent="0.2">
      <c r="A50" s="55"/>
      <c r="B50" s="54"/>
      <c r="C50" s="56"/>
      <c r="D50" s="54"/>
      <c r="E50" s="56"/>
      <c r="F50" s="54"/>
      <c r="G50" s="56"/>
      <c r="H50" s="54"/>
      <c r="I50" s="56"/>
      <c r="J50" s="54"/>
      <c r="K50" s="56"/>
      <c r="L50" s="54"/>
      <c r="M50" s="56"/>
      <c r="N50" s="54"/>
      <c r="O50" s="54"/>
      <c r="P50" s="54"/>
    </row>
    <row r="51" spans="1:17" x14ac:dyDescent="0.2">
      <c r="A51" s="55"/>
      <c r="B51" s="54"/>
      <c r="C51" s="54"/>
      <c r="D51" s="54"/>
      <c r="E51" s="54"/>
      <c r="F51" s="54"/>
      <c r="G51" s="54"/>
      <c r="H51" s="54"/>
      <c r="I51" s="54"/>
      <c r="J51" s="54"/>
      <c r="K51" s="54"/>
      <c r="L51" s="54"/>
      <c r="M51" s="54"/>
      <c r="N51" s="54"/>
      <c r="O51" s="54"/>
      <c r="P51" s="54"/>
    </row>
    <row r="52" spans="1:17" x14ac:dyDescent="0.2">
      <c r="A52" s="55"/>
      <c r="B52" s="54"/>
      <c r="C52" s="56"/>
      <c r="D52" s="54"/>
      <c r="E52" s="56"/>
      <c r="F52" s="54"/>
      <c r="G52" s="56"/>
      <c r="H52" s="54"/>
      <c r="I52" s="56"/>
      <c r="J52" s="54"/>
      <c r="K52" s="56"/>
      <c r="L52" s="54"/>
      <c r="M52" s="56"/>
      <c r="N52" s="54"/>
      <c r="O52" s="54"/>
      <c r="P52" s="54"/>
    </row>
    <row r="53" spans="1:17" x14ac:dyDescent="0.2">
      <c r="A53" s="55"/>
      <c r="B53" s="54"/>
      <c r="C53" s="54"/>
      <c r="D53" s="54"/>
      <c r="E53" s="54"/>
      <c r="F53" s="54"/>
      <c r="G53" s="54"/>
      <c r="H53" s="54"/>
      <c r="I53" s="54"/>
      <c r="J53" s="54"/>
      <c r="K53" s="54"/>
      <c r="L53" s="54"/>
      <c r="M53" s="54"/>
      <c r="N53" s="54"/>
      <c r="O53" s="54"/>
      <c r="P53" s="54"/>
    </row>
    <row r="54" spans="1:17" x14ac:dyDescent="0.2">
      <c r="A54" s="55"/>
      <c r="B54" s="54"/>
      <c r="C54" s="56"/>
      <c r="D54" s="54"/>
      <c r="E54" s="56"/>
      <c r="F54" s="54"/>
      <c r="G54" s="56"/>
      <c r="H54" s="54"/>
      <c r="I54" s="56"/>
      <c r="J54" s="54"/>
      <c r="K54" s="56"/>
      <c r="L54" s="54"/>
      <c r="M54" s="56"/>
      <c r="N54" s="54"/>
      <c r="O54" s="54"/>
      <c r="P54" s="54"/>
    </row>
    <row r="55" spans="1:17" x14ac:dyDescent="0.2">
      <c r="A55" s="55"/>
      <c r="B55" s="54"/>
      <c r="C55" s="54"/>
      <c r="D55" s="54"/>
      <c r="E55" s="54"/>
      <c r="F55" s="54"/>
      <c r="G55" s="54"/>
      <c r="H55" s="54"/>
      <c r="I55" s="54"/>
      <c r="J55" s="54"/>
      <c r="K55" s="54"/>
      <c r="L55" s="54"/>
      <c r="M55" s="54"/>
      <c r="N55" s="54"/>
      <c r="O55" s="54"/>
      <c r="P55" s="54"/>
    </row>
    <row r="56" spans="1:17" x14ac:dyDescent="0.2">
      <c r="A56" s="55"/>
      <c r="B56" s="54"/>
      <c r="C56" s="54"/>
      <c r="D56" s="54"/>
      <c r="E56" s="54"/>
      <c r="F56" s="54"/>
      <c r="G56" s="54"/>
      <c r="H56" s="54"/>
      <c r="I56" s="54"/>
      <c r="J56" s="54"/>
      <c r="K56" s="54"/>
      <c r="L56" s="54"/>
      <c r="M56" s="54"/>
      <c r="N56" s="54"/>
      <c r="O56" s="54"/>
      <c r="P56" s="54"/>
    </row>
    <row r="57" spans="1:17" x14ac:dyDescent="0.2">
      <c r="A57" s="55"/>
      <c r="B57" s="54"/>
      <c r="C57" s="54"/>
      <c r="D57" s="54"/>
      <c r="E57" s="54"/>
      <c r="F57" s="54"/>
      <c r="G57" s="54"/>
      <c r="H57" s="54"/>
      <c r="I57" s="54"/>
      <c r="J57" s="54"/>
      <c r="K57" s="54"/>
      <c r="L57" s="54"/>
      <c r="M57" s="54"/>
      <c r="N57" s="54"/>
      <c r="O57" s="54"/>
      <c r="P57" s="54"/>
      <c r="Q57" s="57"/>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sheetData>
  <mergeCells count="12">
    <mergeCell ref="A45:N45"/>
    <mergeCell ref="A46:N46"/>
    <mergeCell ref="A47:N47"/>
    <mergeCell ref="A48:N48"/>
    <mergeCell ref="A49:N49"/>
    <mergeCell ref="A43:N43"/>
    <mergeCell ref="A44:N44"/>
    <mergeCell ref="K2:K3"/>
    <mergeCell ref="A39:N39"/>
    <mergeCell ref="A40:N40"/>
    <mergeCell ref="A41:K41"/>
    <mergeCell ref="A42:N42"/>
  </mergeCells>
  <dataValidations disablePrompts="1"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6" pageOrder="overThenDown" orientation="portrait" blackAndWhite="1"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
  <dimension ref="A1:Q132"/>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2.85546875" style="60" customWidth="1"/>
    <col min="13" max="13" width="13.7109375" style="59" hidden="1" customWidth="1"/>
    <col min="14" max="14" width="2.8554687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1496</v>
      </c>
      <c r="C3" s="10" t="s">
        <v>1896</v>
      </c>
      <c r="D3" s="6"/>
      <c r="E3" s="11"/>
      <c r="F3" s="9"/>
      <c r="G3" s="11"/>
      <c r="H3" s="6"/>
      <c r="I3" s="11"/>
      <c r="J3" s="6"/>
      <c r="K3" s="1734"/>
      <c r="L3" s="6"/>
      <c r="M3" s="11"/>
      <c r="N3" s="6"/>
    </row>
    <row r="4" spans="1:16" s="4" customFormat="1" ht="15.75" x14ac:dyDescent="0.25">
      <c r="A4" s="1" t="s">
        <v>180</v>
      </c>
      <c r="B4" s="10" t="s">
        <v>1496</v>
      </c>
      <c r="C4" s="10" t="s">
        <v>36</v>
      </c>
      <c r="D4" s="6"/>
      <c r="E4" s="11"/>
      <c r="F4" s="9"/>
      <c r="G4" s="11"/>
      <c r="H4" s="6"/>
      <c r="I4" s="11"/>
      <c r="J4" s="6"/>
      <c r="K4" s="11"/>
      <c r="L4" s="6"/>
      <c r="M4" s="11"/>
      <c r="N4" s="6"/>
    </row>
    <row r="5" spans="1:16" s="4" customFormat="1" ht="15.75" x14ac:dyDescent="0.2">
      <c r="A5" s="1" t="s">
        <v>183</v>
      </c>
      <c r="B5" s="12" t="s">
        <v>211</v>
      </c>
      <c r="C5" s="12" t="s">
        <v>211</v>
      </c>
      <c r="D5" s="13"/>
      <c r="E5" s="14"/>
      <c r="G5" s="14"/>
      <c r="I5" s="14"/>
      <c r="K5" s="600"/>
      <c r="L5" s="6"/>
      <c r="M5" s="600"/>
      <c r="N5" s="6"/>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2" t="str">
        <f>"FY " &amp; FiscalYear - 1</f>
        <v>FY 2018</v>
      </c>
      <c r="J9" s="33" t="s">
        <v>193</v>
      </c>
      <c r="K9" s="34" t="str">
        <f>"FY " &amp; FiscalYear</f>
        <v>FY 2019</v>
      </c>
      <c r="L9" s="33" t="s">
        <v>193</v>
      </c>
      <c r="M9" s="34" t="str">
        <f>"FY " &amp; FiscalYear + 1</f>
        <v>FY 2020</v>
      </c>
      <c r="N9" s="33" t="s">
        <v>193</v>
      </c>
    </row>
    <row r="10" spans="1:16" s="24" customFormat="1" x14ac:dyDescent="0.2">
      <c r="A10" s="35" t="s">
        <v>222</v>
      </c>
      <c r="B10" s="31"/>
      <c r="C10" s="1380"/>
      <c r="D10" s="1380"/>
      <c r="E10" s="1380"/>
      <c r="I10" s="1380"/>
      <c r="K10" s="1380"/>
      <c r="M10" s="1381"/>
      <c r="N10" s="727"/>
    </row>
    <row r="11" spans="1:16" s="24" customFormat="1" x14ac:dyDescent="0.2">
      <c r="A11" s="35" t="s">
        <v>2285</v>
      </c>
      <c r="B11" s="36"/>
      <c r="C11" s="1380"/>
      <c r="D11" s="1380"/>
      <c r="E11" s="1380"/>
      <c r="I11" s="1380"/>
      <c r="K11" s="1380"/>
      <c r="M11" s="1381"/>
      <c r="N11" s="727"/>
    </row>
    <row r="12" spans="1:16" s="24" customFormat="1" x14ac:dyDescent="0.2">
      <c r="A12" s="124" t="s">
        <v>2286</v>
      </c>
      <c r="B12" s="644"/>
      <c r="C12" s="1380"/>
      <c r="D12" s="1380"/>
      <c r="E12" s="1380"/>
      <c r="G12" s="1382"/>
      <c r="I12" s="1380"/>
      <c r="K12" s="1380"/>
      <c r="M12" s="1381"/>
      <c r="N12" s="727"/>
    </row>
    <row r="13" spans="1:16" s="24" customFormat="1" x14ac:dyDescent="0.2">
      <c r="A13" s="94" t="s">
        <v>2273</v>
      </c>
      <c r="B13" s="117"/>
      <c r="C13" s="1383">
        <v>22</v>
      </c>
      <c r="D13" s="1383"/>
      <c r="E13" s="1383">
        <v>27</v>
      </c>
      <c r="F13" s="1383"/>
      <c r="G13" s="1383">
        <v>21</v>
      </c>
      <c r="H13" s="1383"/>
      <c r="I13" s="1383">
        <v>21</v>
      </c>
      <c r="K13" s="1383">
        <v>24</v>
      </c>
      <c r="M13" s="1384"/>
      <c r="N13" s="727"/>
    </row>
    <row r="14" spans="1:16" s="24" customFormat="1" x14ac:dyDescent="0.2">
      <c r="A14" s="94" t="s">
        <v>2275</v>
      </c>
      <c r="B14" s="117"/>
      <c r="C14" s="1383">
        <v>17</v>
      </c>
      <c r="D14" s="1383"/>
      <c r="E14" s="1383">
        <v>22</v>
      </c>
      <c r="F14" s="1383"/>
      <c r="G14" s="1383">
        <v>20</v>
      </c>
      <c r="H14" s="1383"/>
      <c r="I14" s="1383">
        <v>20</v>
      </c>
      <c r="K14" s="1383">
        <v>16</v>
      </c>
      <c r="M14" s="710"/>
      <c r="N14" s="727"/>
    </row>
    <row r="15" spans="1:16" s="24" customFormat="1" x14ac:dyDescent="0.2">
      <c r="A15" s="124" t="s">
        <v>2287</v>
      </c>
      <c r="B15" s="644"/>
      <c r="C15" s="1383"/>
      <c r="D15" s="1383"/>
      <c r="E15" s="1383"/>
      <c r="F15" s="1383"/>
      <c r="G15" s="1383"/>
      <c r="H15" s="1383"/>
      <c r="I15" s="1383"/>
      <c r="K15" s="1383"/>
      <c r="M15" s="1381"/>
      <c r="N15" s="727"/>
    </row>
    <row r="16" spans="1:16" s="24" customFormat="1" x14ac:dyDescent="0.2">
      <c r="A16" s="94" t="s">
        <v>2273</v>
      </c>
      <c r="B16" s="117"/>
      <c r="C16" s="1383">
        <v>90</v>
      </c>
      <c r="D16" s="1383"/>
      <c r="E16" s="1383">
        <v>113</v>
      </c>
      <c r="F16" s="1383"/>
      <c r="G16" s="1383">
        <v>113</v>
      </c>
      <c r="H16" s="1383"/>
      <c r="I16" s="1383">
        <v>113</v>
      </c>
      <c r="K16" s="1383">
        <v>101</v>
      </c>
      <c r="M16" s="417"/>
      <c r="N16" s="956"/>
      <c r="O16" s="956"/>
    </row>
    <row r="17" spans="1:15" s="24" customFormat="1" x14ac:dyDescent="0.2">
      <c r="A17" s="94" t="s">
        <v>2275</v>
      </c>
      <c r="B17" s="117"/>
      <c r="C17" s="1383">
        <v>61</v>
      </c>
      <c r="D17" s="1383"/>
      <c r="E17" s="1383">
        <v>98</v>
      </c>
      <c r="F17" s="1383"/>
      <c r="G17" s="1383">
        <v>98</v>
      </c>
      <c r="H17" s="1383"/>
      <c r="I17" s="1383">
        <v>98</v>
      </c>
      <c r="K17" s="1383">
        <v>86</v>
      </c>
      <c r="M17" s="417"/>
      <c r="N17" s="956"/>
      <c r="O17" s="956"/>
    </row>
    <row r="18" spans="1:15" s="24" customFormat="1" x14ac:dyDescent="0.2">
      <c r="A18" s="124" t="s">
        <v>2288</v>
      </c>
      <c r="B18" s="117"/>
      <c r="C18" s="1383"/>
      <c r="D18" s="1383"/>
      <c r="E18" s="1383"/>
      <c r="F18" s="1383"/>
      <c r="G18" s="1383"/>
      <c r="H18" s="1383"/>
      <c r="I18" s="1383"/>
      <c r="K18" s="1383"/>
      <c r="M18" s="956"/>
      <c r="N18" s="956"/>
      <c r="O18" s="956"/>
    </row>
    <row r="19" spans="1:15" s="24" customFormat="1" x14ac:dyDescent="0.2">
      <c r="A19" s="94" t="s">
        <v>2273</v>
      </c>
      <c r="B19" s="117"/>
      <c r="C19" s="1383">
        <v>60</v>
      </c>
      <c r="D19" s="1383"/>
      <c r="E19" s="1383">
        <v>50</v>
      </c>
      <c r="F19" s="1383"/>
      <c r="G19" s="1383">
        <v>51</v>
      </c>
      <c r="H19" s="1383"/>
      <c r="I19" s="1383">
        <v>51</v>
      </c>
      <c r="K19" s="1383">
        <v>51</v>
      </c>
      <c r="M19" s="417"/>
      <c r="N19" s="956"/>
      <c r="O19" s="956"/>
    </row>
    <row r="20" spans="1:15" s="24" customFormat="1" x14ac:dyDescent="0.2">
      <c r="A20" s="94" t="s">
        <v>2275</v>
      </c>
      <c r="B20" s="117"/>
      <c r="C20" s="1383">
        <v>28</v>
      </c>
      <c r="D20" s="1383"/>
      <c r="E20" s="1383">
        <v>28</v>
      </c>
      <c r="F20" s="1383"/>
      <c r="G20" s="1383">
        <v>28</v>
      </c>
      <c r="H20" s="1383"/>
      <c r="I20" s="1383">
        <v>28</v>
      </c>
      <c r="K20" s="1383">
        <v>28</v>
      </c>
      <c r="M20" s="417"/>
      <c r="N20" s="956"/>
      <c r="O20" s="956"/>
    </row>
    <row r="21" spans="1:15" s="24" customFormat="1" x14ac:dyDescent="0.2">
      <c r="A21" s="94" t="s">
        <v>2289</v>
      </c>
      <c r="B21" s="117"/>
      <c r="C21" s="1383">
        <v>15000</v>
      </c>
      <c r="D21" s="1383"/>
      <c r="E21" s="1383">
        <v>15000</v>
      </c>
      <c r="F21" s="1383"/>
      <c r="G21" s="1383">
        <v>15000</v>
      </c>
      <c r="H21" s="1383"/>
      <c r="I21" s="1383">
        <v>15000</v>
      </c>
      <c r="K21" s="1383">
        <v>15000</v>
      </c>
      <c r="M21" s="956"/>
      <c r="N21" s="956"/>
      <c r="O21" s="956"/>
    </row>
    <row r="22" spans="1:15" s="24" customFormat="1" x14ac:dyDescent="0.2">
      <c r="A22" s="90"/>
      <c r="B22" s="39"/>
      <c r="C22" s="1383"/>
      <c r="D22" s="1383"/>
      <c r="E22" s="1383"/>
      <c r="F22" s="1383"/>
      <c r="G22" s="1383"/>
      <c r="H22" s="1383"/>
      <c r="I22" s="1383"/>
      <c r="K22" s="1383"/>
      <c r="M22" s="956"/>
      <c r="N22" s="956"/>
      <c r="O22" s="956"/>
    </row>
    <row r="23" spans="1:15" s="40" customFormat="1" x14ac:dyDescent="0.2">
      <c r="A23" s="35" t="s">
        <v>2290</v>
      </c>
      <c r="B23" s="39"/>
      <c r="C23" s="63"/>
      <c r="D23" s="63"/>
      <c r="E23" s="63"/>
      <c r="I23" s="63"/>
      <c r="K23" s="63"/>
      <c r="M23" s="901"/>
    </row>
    <row r="24" spans="1:15" s="40" customFormat="1" x14ac:dyDescent="0.2">
      <c r="A24" s="144" t="s">
        <v>2291</v>
      </c>
      <c r="B24" s="145"/>
      <c r="C24" s="63"/>
      <c r="D24" s="63"/>
      <c r="E24" s="63"/>
      <c r="I24" s="63"/>
      <c r="K24" s="63"/>
      <c r="M24" s="901"/>
    </row>
    <row r="25" spans="1:15" s="40" customFormat="1" x14ac:dyDescent="0.2">
      <c r="A25" s="150" t="s">
        <v>2292</v>
      </c>
      <c r="B25" s="145"/>
      <c r="C25" s="76">
        <v>925</v>
      </c>
      <c r="D25" s="76"/>
      <c r="E25" s="76">
        <v>925</v>
      </c>
      <c r="F25" s="77"/>
      <c r="G25" s="77">
        <v>935</v>
      </c>
      <c r="H25" s="77"/>
      <c r="I25" s="76">
        <v>935</v>
      </c>
      <c r="J25" s="77"/>
      <c r="K25" s="76">
        <v>945</v>
      </c>
      <c r="M25" s="76"/>
    </row>
    <row r="26" spans="1:15" s="40" customFormat="1" x14ac:dyDescent="0.2">
      <c r="A26" s="150" t="s">
        <v>2293</v>
      </c>
      <c r="B26" s="145"/>
      <c r="C26" s="1385">
        <v>66</v>
      </c>
      <c r="D26" s="63"/>
      <c r="E26" s="1385">
        <v>68</v>
      </c>
      <c r="G26" s="1386">
        <v>71</v>
      </c>
      <c r="I26" s="1385">
        <v>71</v>
      </c>
      <c r="K26" s="1385">
        <v>100</v>
      </c>
      <c r="M26" s="1387"/>
    </row>
    <row r="27" spans="1:15" s="40" customFormat="1" x14ac:dyDescent="0.2">
      <c r="A27" s="144" t="s">
        <v>2294</v>
      </c>
      <c r="B27" s="39"/>
      <c r="C27" s="63"/>
      <c r="D27" s="63"/>
      <c r="E27" s="63"/>
      <c r="I27" s="63"/>
      <c r="K27" s="63"/>
      <c r="M27" s="65"/>
    </row>
    <row r="28" spans="1:15" s="40" customFormat="1" x14ac:dyDescent="0.2">
      <c r="A28" s="90" t="s">
        <v>2295</v>
      </c>
      <c r="B28" s="39"/>
      <c r="C28" s="1385">
        <v>43.3</v>
      </c>
      <c r="D28" s="63"/>
      <c r="E28" s="1385">
        <v>44.8</v>
      </c>
      <c r="G28" s="1386">
        <v>46.4</v>
      </c>
      <c r="I28" s="1385">
        <v>46.4</v>
      </c>
      <c r="K28" s="1385">
        <v>47</v>
      </c>
      <c r="M28" s="1387"/>
    </row>
    <row r="29" spans="1:15" s="40" customFormat="1" x14ac:dyDescent="0.2">
      <c r="A29" s="90" t="s">
        <v>2296</v>
      </c>
      <c r="B29" s="39"/>
      <c r="C29" s="1385">
        <v>5</v>
      </c>
      <c r="D29" s="63"/>
      <c r="E29" s="1385">
        <v>5</v>
      </c>
      <c r="G29" s="1386">
        <v>5.2</v>
      </c>
      <c r="I29" s="1385">
        <v>5.2</v>
      </c>
      <c r="K29" s="1385">
        <v>5.3</v>
      </c>
      <c r="M29" s="1387"/>
    </row>
    <row r="30" spans="1:15" s="40" customFormat="1" x14ac:dyDescent="0.2">
      <c r="A30" s="90" t="s">
        <v>2297</v>
      </c>
      <c r="B30" s="39"/>
      <c r="C30" s="1388">
        <v>95</v>
      </c>
      <c r="D30" s="63"/>
      <c r="E30" s="1388">
        <v>97</v>
      </c>
      <c r="G30" s="1389">
        <v>99</v>
      </c>
      <c r="I30" s="1388">
        <v>99</v>
      </c>
      <c r="K30" s="1388">
        <v>103</v>
      </c>
      <c r="M30" s="1388"/>
    </row>
    <row r="31" spans="1:15" s="40" customFormat="1" x14ac:dyDescent="0.2">
      <c r="A31" s="90"/>
      <c r="B31" s="39"/>
      <c r="C31" s="63"/>
      <c r="D31" s="63"/>
      <c r="E31" s="63"/>
      <c r="I31" s="63"/>
      <c r="K31" s="63"/>
      <c r="M31" s="901"/>
    </row>
    <row r="32" spans="1:15" s="40" customFormat="1" x14ac:dyDescent="0.2">
      <c r="A32" s="35" t="s">
        <v>2298</v>
      </c>
      <c r="B32" s="36"/>
      <c r="C32" s="63"/>
      <c r="D32" s="63"/>
      <c r="E32" s="63"/>
      <c r="I32" s="63"/>
      <c r="K32" s="63"/>
      <c r="M32" s="901"/>
    </row>
    <row r="33" spans="1:15" s="40" customFormat="1" x14ac:dyDescent="0.2">
      <c r="A33" s="41" t="s">
        <v>2299</v>
      </c>
      <c r="B33" s="39"/>
      <c r="C33" s="76">
        <v>4400</v>
      </c>
      <c r="D33" s="76"/>
      <c r="E33" s="76">
        <v>4500</v>
      </c>
      <c r="F33" s="77"/>
      <c r="G33" s="77">
        <v>4500</v>
      </c>
      <c r="H33" s="77"/>
      <c r="I33" s="76">
        <v>4500</v>
      </c>
      <c r="J33" s="77"/>
      <c r="K33" s="76">
        <v>4500</v>
      </c>
      <c r="M33" s="76"/>
    </row>
    <row r="34" spans="1:15" s="148" customFormat="1" x14ac:dyDescent="0.2">
      <c r="A34" s="1390"/>
      <c r="B34" s="31"/>
      <c r="C34" s="1391"/>
      <c r="D34" s="106"/>
      <c r="E34" s="1391"/>
      <c r="I34" s="1391"/>
      <c r="K34" s="1391"/>
      <c r="M34" s="1377"/>
    </row>
    <row r="35" spans="1:15" s="148" customFormat="1" x14ac:dyDescent="0.2">
      <c r="A35" s="35" t="s">
        <v>2300</v>
      </c>
      <c r="B35" s="39"/>
      <c r="C35" s="106"/>
      <c r="D35" s="106"/>
      <c r="E35" s="106"/>
      <c r="I35" s="106"/>
      <c r="K35" s="106"/>
      <c r="M35" s="1378"/>
    </row>
    <row r="36" spans="1:15" s="148" customFormat="1" x14ac:dyDescent="0.2">
      <c r="A36" s="41" t="s">
        <v>2301</v>
      </c>
      <c r="B36" s="39"/>
      <c r="C36" s="1383">
        <v>5570000</v>
      </c>
      <c r="D36" s="1383"/>
      <c r="E36" s="1383">
        <v>5800000</v>
      </c>
      <c r="F36" s="1383"/>
      <c r="G36" s="1383">
        <v>5850000</v>
      </c>
      <c r="H36" s="1383"/>
      <c r="I36" s="1383">
        <v>5748000</v>
      </c>
      <c r="J36" s="1383"/>
      <c r="K36" s="1383">
        <v>5850000</v>
      </c>
      <c r="M36" s="1378"/>
    </row>
    <row r="37" spans="1:15" s="24" customFormat="1" x14ac:dyDescent="0.2">
      <c r="A37" s="90"/>
      <c r="B37" s="39"/>
      <c r="C37" s="1380"/>
      <c r="D37" s="1380"/>
      <c r="E37" s="1380"/>
      <c r="I37" s="1380"/>
      <c r="K37" s="1380"/>
      <c r="M37" s="956"/>
      <c r="N37" s="956"/>
      <c r="O37" s="956"/>
    </row>
    <row r="38" spans="1:15" s="24" customFormat="1" x14ac:dyDescent="0.2">
      <c r="A38" s="90"/>
      <c r="B38" s="39"/>
      <c r="C38" s="1380"/>
      <c r="D38" s="1380"/>
      <c r="E38" s="1380"/>
      <c r="I38" s="1380"/>
      <c r="K38" s="1380"/>
      <c r="M38" s="1381"/>
      <c r="N38" s="727"/>
    </row>
    <row r="39" spans="1:15" s="24" customFormat="1" x14ac:dyDescent="0.2">
      <c r="A39" s="35" t="s">
        <v>194</v>
      </c>
      <c r="B39" s="39"/>
      <c r="C39" s="1380"/>
      <c r="D39" s="1380"/>
      <c r="E39" s="1380"/>
      <c r="I39" s="1380"/>
      <c r="K39" s="1380"/>
      <c r="M39" s="1381"/>
      <c r="N39" s="727"/>
    </row>
    <row r="40" spans="1:15" s="1392" customFormat="1" x14ac:dyDescent="0.2">
      <c r="A40" s="38" t="s">
        <v>254</v>
      </c>
      <c r="B40" s="39"/>
      <c r="C40" s="1380"/>
      <c r="D40" s="1380"/>
      <c r="E40" s="1380"/>
      <c r="I40" s="1380"/>
      <c r="K40" s="1380"/>
      <c r="M40" s="1393"/>
      <c r="N40" s="1394"/>
    </row>
    <row r="41" spans="1:15" s="1392" customFormat="1" x14ac:dyDescent="0.2">
      <c r="A41" s="41" t="s">
        <v>332</v>
      </c>
      <c r="B41" s="39"/>
      <c r="C41" s="43">
        <v>10</v>
      </c>
      <c r="D41" s="1380"/>
      <c r="E41" s="43">
        <v>9</v>
      </c>
      <c r="G41" s="1395"/>
      <c r="I41" s="43">
        <f>56-47</f>
        <v>9</v>
      </c>
      <c r="K41" s="43"/>
      <c r="M41" s="1396"/>
      <c r="N41" s="1394"/>
    </row>
    <row r="42" spans="1:15" s="1392" customFormat="1" x14ac:dyDescent="0.2">
      <c r="A42" s="41" t="s">
        <v>256</v>
      </c>
      <c r="B42" s="39"/>
      <c r="C42" s="1397">
        <f>ROUND(C41/156,3)</f>
        <v>6.4000000000000001E-2</v>
      </c>
      <c r="D42" s="1380"/>
      <c r="E42" s="1397">
        <f>E41/151</f>
        <v>5.9602649006622516E-2</v>
      </c>
      <c r="G42" s="1398"/>
      <c r="I42" s="1397">
        <f>I41/138</f>
        <v>6.5217391304347824E-2</v>
      </c>
      <c r="K42" s="1397"/>
      <c r="M42" s="1399"/>
      <c r="N42" s="1394"/>
    </row>
    <row r="43" spans="1:15" s="1392" customFormat="1" x14ac:dyDescent="0.2">
      <c r="A43" s="41" t="s">
        <v>257</v>
      </c>
      <c r="B43" s="39"/>
      <c r="C43" s="43">
        <v>33</v>
      </c>
      <c r="D43" s="1380"/>
      <c r="E43" s="43">
        <f>87-56</f>
        <v>31</v>
      </c>
      <c r="G43" s="1395"/>
      <c r="I43" s="43">
        <f>80-49</f>
        <v>31</v>
      </c>
      <c r="K43" s="43"/>
      <c r="M43" s="1396"/>
      <c r="N43" s="1394"/>
    </row>
    <row r="44" spans="1:15" s="1392" customFormat="1" x14ac:dyDescent="0.2">
      <c r="A44" s="41" t="s">
        <v>258</v>
      </c>
      <c r="B44" s="39"/>
      <c r="C44" s="1397">
        <f>ROUND(C43/156,3)</f>
        <v>0.21199999999999999</v>
      </c>
      <c r="D44" s="1380"/>
      <c r="E44" s="1397">
        <f>E43/151</f>
        <v>0.20529801324503311</v>
      </c>
      <c r="G44" s="1398"/>
      <c r="I44" s="1397">
        <f>I43/138</f>
        <v>0.22463768115942029</v>
      </c>
      <c r="K44" s="1397"/>
      <c r="M44" s="1399"/>
      <c r="N44" s="1394"/>
    </row>
    <row r="45" spans="1:15" s="1392" customFormat="1" x14ac:dyDescent="0.2">
      <c r="A45" s="41" t="s">
        <v>259</v>
      </c>
      <c r="B45" s="39"/>
      <c r="C45" s="43">
        <v>43</v>
      </c>
      <c r="D45" s="1380"/>
      <c r="E45" s="43">
        <f>E43+E41</f>
        <v>40</v>
      </c>
      <c r="G45" s="1395"/>
      <c r="I45" s="43">
        <f>I41+I43</f>
        <v>40</v>
      </c>
      <c r="K45" s="43"/>
      <c r="M45" s="1396"/>
      <c r="N45" s="1394"/>
    </row>
    <row r="46" spans="1:15" s="1392" customFormat="1" x14ac:dyDescent="0.2">
      <c r="A46" s="41" t="s">
        <v>260</v>
      </c>
      <c r="B46" s="39"/>
      <c r="C46" s="1397">
        <f>ROUND(C45/156,3)</f>
        <v>0.27600000000000002</v>
      </c>
      <c r="D46" s="1380"/>
      <c r="E46" s="1397">
        <f>E45/151</f>
        <v>0.26490066225165565</v>
      </c>
      <c r="G46" s="1398"/>
      <c r="I46" s="1397">
        <f>I45/138</f>
        <v>0.28985507246376813</v>
      </c>
      <c r="K46" s="1397"/>
      <c r="M46" s="1399"/>
      <c r="N46" s="1394"/>
    </row>
    <row r="47" spans="1:15" s="1392" customFormat="1" x14ac:dyDescent="0.2">
      <c r="A47" s="35" t="s">
        <v>211</v>
      </c>
      <c r="B47" s="1400"/>
      <c r="C47" s="1380"/>
      <c r="D47" s="1380"/>
      <c r="E47" s="1380"/>
      <c r="I47" s="1380"/>
      <c r="K47" s="1380"/>
      <c r="M47" s="1393"/>
      <c r="N47" s="1394"/>
    </row>
    <row r="48" spans="1:15" s="1392" customFormat="1" x14ac:dyDescent="0.2">
      <c r="A48" s="35" t="s">
        <v>195</v>
      </c>
      <c r="B48" s="1400"/>
      <c r="C48" s="1380"/>
      <c r="D48" s="1380"/>
      <c r="E48" s="1380"/>
      <c r="I48" s="1380"/>
      <c r="K48" s="1380"/>
      <c r="M48" s="1393"/>
      <c r="N48" s="1394"/>
    </row>
    <row r="49" spans="1:17" s="1392" customFormat="1" x14ac:dyDescent="0.2">
      <c r="A49" s="38" t="s">
        <v>196</v>
      </c>
      <c r="B49" s="1400"/>
      <c r="C49" s="1380"/>
      <c r="D49" s="1380"/>
      <c r="E49" s="1380"/>
      <c r="I49" s="1380"/>
      <c r="K49" s="1380"/>
      <c r="M49" s="1393"/>
      <c r="N49" s="1394"/>
    </row>
    <row r="50" spans="1:17" s="1392" customFormat="1" x14ac:dyDescent="0.2">
      <c r="A50" s="41" t="s">
        <v>197</v>
      </c>
      <c r="B50" s="1400"/>
      <c r="C50" s="639">
        <v>110</v>
      </c>
      <c r="D50" s="1380"/>
      <c r="E50" s="639">
        <v>104</v>
      </c>
      <c r="G50" s="639">
        <v>109</v>
      </c>
      <c r="I50" s="639">
        <v>95</v>
      </c>
      <c r="K50" s="639">
        <v>101</v>
      </c>
      <c r="M50" s="1396"/>
      <c r="N50" s="1394"/>
    </row>
    <row r="51" spans="1:17" s="1392" customFormat="1" x14ac:dyDescent="0.2">
      <c r="A51" s="41" t="s">
        <v>261</v>
      </c>
      <c r="B51" s="1400"/>
      <c r="C51" s="639">
        <v>2</v>
      </c>
      <c r="D51" s="1380"/>
      <c r="E51" s="639">
        <v>2</v>
      </c>
      <c r="G51" s="639">
        <v>2</v>
      </c>
      <c r="I51" s="639">
        <v>2</v>
      </c>
      <c r="K51" s="639">
        <v>2</v>
      </c>
      <c r="M51" s="1396"/>
      <c r="N51" s="1394"/>
    </row>
    <row r="52" spans="1:17" s="280" customFormat="1" x14ac:dyDescent="0.2">
      <c r="A52" s="41" t="s">
        <v>198</v>
      </c>
      <c r="B52" s="68"/>
      <c r="C52" s="639">
        <f>C50+C51</f>
        <v>112</v>
      </c>
      <c r="D52" s="63"/>
      <c r="E52" s="639">
        <v>106</v>
      </c>
      <c r="G52" s="639">
        <f>G50+G51</f>
        <v>111</v>
      </c>
      <c r="I52" s="639">
        <f>SUM(I50:I51)</f>
        <v>97</v>
      </c>
      <c r="K52" s="639">
        <f>K50+K51</f>
        <v>103</v>
      </c>
      <c r="M52" s="632"/>
      <c r="N52" s="278"/>
    </row>
    <row r="53" spans="1:17" s="280" customFormat="1" x14ac:dyDescent="0.2">
      <c r="A53" s="38" t="s">
        <v>199</v>
      </c>
      <c r="B53" s="68"/>
      <c r="C53" s="639"/>
      <c r="D53" s="63"/>
      <c r="E53" s="639"/>
      <c r="G53" s="639"/>
      <c r="I53" s="639"/>
      <c r="K53" s="639"/>
      <c r="M53" s="1401"/>
      <c r="N53" s="278"/>
    </row>
    <row r="54" spans="1:17" s="280" customFormat="1" x14ac:dyDescent="0.2">
      <c r="A54" s="41" t="s">
        <v>2285</v>
      </c>
      <c r="B54" s="39"/>
      <c r="C54" s="639">
        <v>37</v>
      </c>
      <c r="D54" s="63"/>
      <c r="E54" s="639">
        <v>39</v>
      </c>
      <c r="G54" s="639">
        <v>41</v>
      </c>
      <c r="I54" s="639">
        <v>40</v>
      </c>
      <c r="K54" s="639">
        <v>40</v>
      </c>
      <c r="M54" s="528"/>
      <c r="N54" s="956"/>
      <c r="O54" s="956"/>
    </row>
    <row r="55" spans="1:17" s="280" customFormat="1" x14ac:dyDescent="0.2">
      <c r="A55" s="41" t="s">
        <v>2290</v>
      </c>
      <c r="B55" s="39"/>
      <c r="C55" s="639">
        <v>54</v>
      </c>
      <c r="D55" s="63"/>
      <c r="E55" s="639">
        <v>47</v>
      </c>
      <c r="G55" s="639">
        <v>50</v>
      </c>
      <c r="I55" s="639">
        <v>38</v>
      </c>
      <c r="K55" s="639">
        <v>46</v>
      </c>
      <c r="M55" s="528"/>
      <c r="N55" s="956"/>
      <c r="O55" s="956"/>
    </row>
    <row r="56" spans="1:17" s="280" customFormat="1" x14ac:dyDescent="0.2">
      <c r="A56" s="41" t="s">
        <v>2298</v>
      </c>
      <c r="B56" s="39"/>
      <c r="C56" s="43">
        <v>13</v>
      </c>
      <c r="D56" s="63"/>
      <c r="E56" s="43">
        <v>12</v>
      </c>
      <c r="G56" s="43">
        <v>12</v>
      </c>
      <c r="I56" s="43">
        <v>12</v>
      </c>
      <c r="K56" s="43">
        <v>12</v>
      </c>
      <c r="M56" s="528"/>
      <c r="N56" s="956"/>
      <c r="O56" s="956"/>
    </row>
    <row r="57" spans="1:17" s="280" customFormat="1" x14ac:dyDescent="0.2">
      <c r="A57" s="41" t="s">
        <v>2300</v>
      </c>
      <c r="B57" s="39"/>
      <c r="C57" s="43">
        <v>8</v>
      </c>
      <c r="D57" s="63"/>
      <c r="E57" s="43">
        <v>8</v>
      </c>
      <c r="G57" s="43">
        <v>8</v>
      </c>
      <c r="I57" s="43">
        <v>7</v>
      </c>
      <c r="K57" s="43">
        <v>7</v>
      </c>
      <c r="M57" s="528"/>
      <c r="N57" s="956"/>
      <c r="O57" s="956"/>
    </row>
    <row r="58" spans="1:17" s="280" customFormat="1" x14ac:dyDescent="0.2">
      <c r="A58" s="41" t="s">
        <v>198</v>
      </c>
      <c r="B58" s="39"/>
      <c r="C58" s="43">
        <f>C54+C55+C56+C57</f>
        <v>112</v>
      </c>
      <c r="D58" s="63"/>
      <c r="E58" s="43">
        <f>SUM(E54:E57)</f>
        <v>106</v>
      </c>
      <c r="G58" s="43">
        <f>SUM(G54:G57)</f>
        <v>111</v>
      </c>
      <c r="I58" s="43">
        <f>SUM(I54:I57)</f>
        <v>97</v>
      </c>
      <c r="K58" s="43">
        <f>SUM(K54:K57)</f>
        <v>105</v>
      </c>
      <c r="M58" s="528"/>
      <c r="N58" s="956"/>
      <c r="O58" s="956"/>
    </row>
    <row r="59" spans="1:17" s="280" customFormat="1" x14ac:dyDescent="0.2">
      <c r="A59" s="41"/>
      <c r="B59" s="39"/>
      <c r="M59" s="393"/>
      <c r="N59" s="278"/>
    </row>
    <row r="60" spans="1:17" s="48" customFormat="1" x14ac:dyDescent="0.2">
      <c r="A60" s="49" t="s">
        <v>200</v>
      </c>
      <c r="B60" s="50"/>
      <c r="C60" s="51"/>
      <c r="D60" s="52"/>
      <c r="E60" s="51"/>
      <c r="F60" s="52"/>
      <c r="G60" s="51"/>
      <c r="H60" s="52"/>
      <c r="I60" s="51"/>
      <c r="J60" s="52"/>
      <c r="K60" s="51"/>
      <c r="L60" s="52"/>
      <c r="M60" s="51"/>
      <c r="N60" s="52"/>
    </row>
    <row r="61" spans="1:17" ht="33.75" customHeight="1" x14ac:dyDescent="0.2">
      <c r="A61" s="1738" t="s">
        <v>477</v>
      </c>
      <c r="B61" s="1736"/>
      <c r="C61" s="1737"/>
      <c r="D61" s="1736"/>
      <c r="E61" s="1737"/>
      <c r="F61" s="1736"/>
      <c r="G61" s="1737"/>
      <c r="H61" s="1736"/>
      <c r="I61" s="1737"/>
      <c r="J61" s="1736"/>
      <c r="K61" s="1737"/>
      <c r="L61" s="1736"/>
      <c r="M61" s="1737"/>
      <c r="N61" s="1736"/>
      <c r="O61" s="54"/>
      <c r="P61" s="54"/>
      <c r="Q61" s="951"/>
    </row>
    <row r="62" spans="1:17" x14ac:dyDescent="0.2">
      <c r="A62" s="25" t="s">
        <v>2302</v>
      </c>
      <c r="O62" s="54"/>
      <c r="P62" s="54"/>
      <c r="Q62" s="951"/>
    </row>
    <row r="63" spans="1:17" s="1402" customFormat="1" ht="17.25" customHeight="1" x14ac:dyDescent="0.2">
      <c r="A63" s="1788"/>
      <c r="B63" s="1740"/>
      <c r="C63" s="1741"/>
      <c r="D63" s="1740"/>
      <c r="E63" s="1741"/>
      <c r="F63" s="1740"/>
      <c r="G63" s="1741"/>
      <c r="H63" s="1740"/>
      <c r="I63" s="1741"/>
      <c r="J63" s="1740"/>
      <c r="K63" s="1741"/>
      <c r="L63" s="1740"/>
      <c r="M63" s="1741"/>
      <c r="N63" s="1740"/>
      <c r="O63" s="232"/>
      <c r="P63" s="232"/>
    </row>
    <row r="64" spans="1:17" x14ac:dyDescent="0.2">
      <c r="C64" s="985"/>
      <c r="E64" s="985"/>
      <c r="G64" s="985"/>
      <c r="I64" s="985"/>
      <c r="K64" s="985"/>
      <c r="M64" s="985"/>
    </row>
    <row r="65" spans="1:16" ht="14.25" customHeight="1" x14ac:dyDescent="0.25">
      <c r="A65" s="329"/>
      <c r="B65" s="137"/>
      <c r="C65" s="1403"/>
      <c r="D65" s="137"/>
      <c r="E65" s="1404"/>
      <c r="F65" s="137"/>
      <c r="G65" s="1404"/>
      <c r="H65" s="137"/>
      <c r="I65" s="1404"/>
      <c r="J65" s="137"/>
      <c r="K65" s="1404"/>
      <c r="L65" s="137"/>
      <c r="M65" s="1404"/>
      <c r="N65" s="137"/>
      <c r="O65" s="54"/>
      <c r="P65" s="54"/>
    </row>
    <row r="66" spans="1:16" ht="14.25" customHeight="1" x14ac:dyDescent="0.2">
      <c r="A66" s="329"/>
      <c r="B66" s="137"/>
      <c r="C66" s="138"/>
      <c r="D66" s="137"/>
      <c r="E66" s="138"/>
      <c r="F66" s="137"/>
      <c r="G66" s="138"/>
      <c r="H66" s="137"/>
      <c r="I66" s="138"/>
      <c r="J66" s="137"/>
      <c r="K66" s="138"/>
      <c r="L66" s="137"/>
      <c r="M66" s="138"/>
      <c r="N66" s="137"/>
      <c r="O66" s="54"/>
      <c r="P66" s="54"/>
    </row>
    <row r="67" spans="1:16" ht="14.25" customHeight="1" x14ac:dyDescent="0.2">
      <c r="A67" s="329"/>
      <c r="B67" s="137"/>
      <c r="C67" s="138"/>
      <c r="D67" s="137"/>
      <c r="E67" s="138"/>
      <c r="F67" s="137"/>
      <c r="G67" s="138"/>
      <c r="H67" s="137"/>
      <c r="I67" s="138"/>
      <c r="J67" s="137"/>
      <c r="K67" s="138"/>
      <c r="L67" s="137"/>
      <c r="M67" s="138"/>
      <c r="N67" s="137"/>
      <c r="O67" s="54"/>
      <c r="P67" s="54"/>
    </row>
    <row r="68" spans="1:16" ht="14.25" customHeight="1" x14ac:dyDescent="0.2">
      <c r="A68" s="329"/>
      <c r="B68" s="137"/>
      <c r="C68" s="138"/>
      <c r="D68" s="137"/>
      <c r="E68" s="138"/>
      <c r="F68" s="137"/>
      <c r="G68" s="138"/>
      <c r="H68" s="137"/>
      <c r="I68" s="138"/>
      <c r="J68" s="137"/>
      <c r="K68" s="138"/>
      <c r="L68" s="137"/>
      <c r="M68" s="138"/>
      <c r="N68" s="137"/>
      <c r="O68" s="54"/>
      <c r="P68" s="54"/>
    </row>
    <row r="69" spans="1:16" ht="14.25" customHeight="1" x14ac:dyDescent="0.2">
      <c r="A69" s="329"/>
      <c r="B69" s="137"/>
      <c r="C69" s="138"/>
      <c r="D69" s="137"/>
      <c r="E69" s="138"/>
      <c r="F69" s="137"/>
      <c r="G69" s="138"/>
      <c r="H69" s="137"/>
      <c r="I69" s="138"/>
      <c r="J69" s="137"/>
      <c r="K69" s="138"/>
      <c r="L69" s="137"/>
      <c r="M69" s="138"/>
      <c r="N69" s="137"/>
      <c r="O69" s="54"/>
      <c r="P69" s="54"/>
    </row>
    <row r="70" spans="1:16" ht="14.25" customHeight="1" x14ac:dyDescent="0.2">
      <c r="A70" s="329"/>
      <c r="B70" s="137"/>
      <c r="C70" s="138"/>
      <c r="D70" s="137"/>
      <c r="E70" s="138"/>
      <c r="F70" s="137"/>
      <c r="G70" s="138"/>
      <c r="H70" s="137"/>
      <c r="I70" s="138"/>
      <c r="J70" s="137"/>
      <c r="K70" s="138"/>
      <c r="L70" s="137"/>
      <c r="M70" s="138"/>
      <c r="N70" s="137"/>
      <c r="O70" s="54"/>
      <c r="P70" s="54"/>
    </row>
    <row r="71" spans="1:16" ht="14.25" customHeight="1" x14ac:dyDescent="0.2">
      <c r="A71" s="329"/>
      <c r="B71" s="137"/>
      <c r="C71" s="138"/>
      <c r="D71" s="137"/>
      <c r="E71" s="138"/>
      <c r="F71" s="137"/>
      <c r="G71" s="138"/>
      <c r="H71" s="137"/>
      <c r="I71" s="138"/>
      <c r="J71" s="137"/>
      <c r="K71" s="138"/>
      <c r="L71" s="137"/>
      <c r="M71" s="138"/>
      <c r="N71" s="137"/>
      <c r="O71" s="54"/>
      <c r="P71" s="54"/>
    </row>
    <row r="72" spans="1:16" ht="27.75" customHeight="1" x14ac:dyDescent="0.2">
      <c r="A72" s="1735"/>
      <c r="B72" s="1736"/>
      <c r="C72" s="1737"/>
      <c r="D72" s="1736"/>
      <c r="E72" s="1737"/>
      <c r="F72" s="1736"/>
      <c r="G72" s="1737"/>
      <c r="H72" s="1736"/>
      <c r="I72" s="1737"/>
      <c r="J72" s="1736"/>
      <c r="K72" s="1737"/>
      <c r="L72" s="1736"/>
      <c r="M72" s="1737"/>
      <c r="N72" s="1736"/>
      <c r="O72" s="54"/>
      <c r="P72" s="54"/>
    </row>
    <row r="73" spans="1:16" ht="27.75" customHeight="1" x14ac:dyDescent="0.2">
      <c r="A73" s="1735"/>
      <c r="B73" s="1736"/>
      <c r="C73" s="1737"/>
      <c r="D73" s="1736"/>
      <c r="E73" s="1737"/>
      <c r="F73" s="1736"/>
      <c r="G73" s="1737"/>
      <c r="H73" s="1736"/>
      <c r="I73" s="1737"/>
      <c r="J73" s="1736"/>
      <c r="K73" s="1737"/>
      <c r="L73" s="1736"/>
      <c r="M73" s="1737"/>
      <c r="N73" s="1736"/>
      <c r="O73" s="54"/>
      <c r="P73" s="54"/>
    </row>
    <row r="74" spans="1:16" ht="27.75" customHeight="1" x14ac:dyDescent="0.2">
      <c r="A74" s="1735"/>
      <c r="B74" s="1736"/>
      <c r="C74" s="1737"/>
      <c r="D74" s="1736"/>
      <c r="E74" s="1737"/>
      <c r="F74" s="1736"/>
      <c r="G74" s="1737"/>
      <c r="H74" s="1736"/>
      <c r="I74" s="1737"/>
      <c r="J74" s="1736"/>
      <c r="K74" s="1737"/>
      <c r="L74" s="1736"/>
      <c r="M74" s="1737"/>
      <c r="N74" s="1736"/>
      <c r="O74" s="54"/>
      <c r="P74" s="54"/>
    </row>
    <row r="75" spans="1:16" ht="27.75" customHeight="1" x14ac:dyDescent="0.2">
      <c r="A75" s="1735"/>
      <c r="B75" s="1736"/>
      <c r="C75" s="1737"/>
      <c r="D75" s="1736"/>
      <c r="E75" s="1737"/>
      <c r="F75" s="1736"/>
      <c r="G75" s="1737"/>
      <c r="H75" s="1736"/>
      <c r="I75" s="1737"/>
      <c r="J75" s="1736"/>
      <c r="K75" s="1737"/>
      <c r="L75" s="1736"/>
      <c r="M75" s="1737"/>
      <c r="N75" s="1736"/>
      <c r="O75" s="54"/>
      <c r="P75" s="54"/>
    </row>
    <row r="76" spans="1:16" ht="27.75" customHeight="1" x14ac:dyDescent="0.2">
      <c r="A76" s="1735"/>
      <c r="B76" s="1736"/>
      <c r="C76" s="1737"/>
      <c r="D76" s="1736"/>
      <c r="E76" s="1737"/>
      <c r="F76" s="1736"/>
      <c r="G76" s="1737"/>
      <c r="H76" s="1736"/>
      <c r="I76" s="1737"/>
      <c r="J76" s="1736"/>
      <c r="K76" s="1737"/>
      <c r="L76" s="1736"/>
      <c r="M76" s="1737"/>
      <c r="N76" s="1736"/>
      <c r="O76" s="54"/>
      <c r="P76" s="54"/>
    </row>
    <row r="77" spans="1:16" ht="27.75" customHeight="1" x14ac:dyDescent="0.2">
      <c r="A77" s="1735"/>
      <c r="B77" s="1736"/>
      <c r="C77" s="1737"/>
      <c r="D77" s="1736"/>
      <c r="E77" s="1737"/>
      <c r="F77" s="1736"/>
      <c r="G77" s="1737"/>
      <c r="H77" s="1736"/>
      <c r="I77" s="1737"/>
      <c r="J77" s="1736"/>
      <c r="K77" s="1737"/>
      <c r="L77" s="1736"/>
      <c r="M77" s="1737"/>
      <c r="N77" s="1736"/>
      <c r="O77" s="54"/>
      <c r="P77" s="54"/>
    </row>
    <row r="78" spans="1:16" ht="27.75" customHeight="1" x14ac:dyDescent="0.2">
      <c r="A78" s="1735"/>
      <c r="B78" s="1736"/>
      <c r="C78" s="1737"/>
      <c r="D78" s="1736"/>
      <c r="E78" s="1737"/>
      <c r="F78" s="1736"/>
      <c r="G78" s="1737"/>
      <c r="H78" s="1736"/>
      <c r="I78" s="1737"/>
      <c r="J78" s="1736"/>
      <c r="K78" s="1737"/>
      <c r="L78" s="1736"/>
      <c r="M78" s="1737"/>
      <c r="N78" s="1736"/>
      <c r="O78" s="54"/>
      <c r="P78" s="54"/>
    </row>
    <row r="79" spans="1:16" x14ac:dyDescent="0.2">
      <c r="A79" s="55"/>
      <c r="B79" s="54"/>
      <c r="C79" s="56"/>
      <c r="D79" s="54"/>
      <c r="E79" s="56"/>
      <c r="F79" s="54"/>
      <c r="G79" s="56"/>
      <c r="H79" s="54"/>
      <c r="I79" s="56"/>
      <c r="J79" s="54"/>
      <c r="K79" s="56"/>
      <c r="L79" s="54"/>
      <c r="M79" s="56"/>
      <c r="N79" s="54"/>
      <c r="O79" s="54"/>
      <c r="P79" s="54"/>
    </row>
    <row r="80" spans="1:16" x14ac:dyDescent="0.2">
      <c r="A80" s="55"/>
      <c r="B80" s="54"/>
      <c r="C80" s="54"/>
      <c r="D80" s="54"/>
      <c r="E80" s="54"/>
      <c r="F80" s="54"/>
      <c r="G80" s="54"/>
      <c r="H80" s="54"/>
      <c r="I80" s="54"/>
      <c r="J80" s="54"/>
      <c r="K80" s="54"/>
      <c r="L80" s="54"/>
      <c r="M80" s="54"/>
      <c r="N80" s="54"/>
      <c r="O80" s="54"/>
      <c r="P80" s="54"/>
    </row>
    <row r="81" spans="1:17" x14ac:dyDescent="0.2">
      <c r="A81" s="55"/>
      <c r="B81" s="54"/>
      <c r="C81" s="56"/>
      <c r="D81" s="54"/>
      <c r="E81" s="56"/>
      <c r="F81" s="54"/>
      <c r="G81" s="56"/>
      <c r="H81" s="54"/>
      <c r="I81" s="56"/>
      <c r="J81" s="54"/>
      <c r="K81" s="56"/>
      <c r="L81" s="54"/>
      <c r="M81" s="56"/>
      <c r="N81" s="54"/>
      <c r="O81" s="54"/>
      <c r="P81" s="54"/>
    </row>
    <row r="82" spans="1:17" x14ac:dyDescent="0.2">
      <c r="A82" s="55"/>
      <c r="B82" s="54"/>
      <c r="C82" s="54"/>
      <c r="D82" s="54"/>
      <c r="E82" s="54"/>
      <c r="F82" s="54"/>
      <c r="G82" s="54"/>
      <c r="H82" s="54"/>
      <c r="I82" s="54"/>
      <c r="J82" s="54"/>
      <c r="K82" s="54"/>
      <c r="L82" s="54"/>
      <c r="M82" s="54"/>
      <c r="N82" s="54"/>
      <c r="O82" s="54"/>
      <c r="P82" s="54"/>
    </row>
    <row r="83" spans="1:17" x14ac:dyDescent="0.2">
      <c r="A83" s="55"/>
      <c r="B83" s="54"/>
      <c r="C83" s="56"/>
      <c r="D83" s="54"/>
      <c r="E83" s="56"/>
      <c r="F83" s="54"/>
      <c r="G83" s="56"/>
      <c r="H83" s="54"/>
      <c r="I83" s="56"/>
      <c r="J83" s="54"/>
      <c r="K83" s="56"/>
      <c r="L83" s="54"/>
      <c r="M83" s="56"/>
      <c r="N83" s="54"/>
      <c r="O83" s="54"/>
      <c r="P83" s="54"/>
    </row>
    <row r="84" spans="1:17" x14ac:dyDescent="0.2">
      <c r="A84" s="55"/>
      <c r="B84" s="54"/>
      <c r="C84" s="54"/>
      <c r="D84" s="54"/>
      <c r="E84" s="54"/>
      <c r="F84" s="54"/>
      <c r="G84" s="54"/>
      <c r="H84" s="54"/>
      <c r="I84" s="54"/>
      <c r="J84" s="54"/>
      <c r="K84" s="54"/>
      <c r="L84" s="54"/>
      <c r="M84" s="54"/>
      <c r="N84" s="54"/>
      <c r="O84" s="54"/>
      <c r="P84" s="54"/>
    </row>
    <row r="85" spans="1:17" x14ac:dyDescent="0.2">
      <c r="A85" s="55"/>
      <c r="B85" s="54"/>
      <c r="C85" s="54"/>
      <c r="D85" s="54"/>
      <c r="E85" s="54"/>
      <c r="F85" s="54"/>
      <c r="G85" s="54"/>
      <c r="H85" s="54"/>
      <c r="I85" s="54"/>
      <c r="J85" s="54"/>
      <c r="K85" s="54"/>
      <c r="L85" s="54"/>
      <c r="M85" s="54"/>
      <c r="N85" s="54"/>
      <c r="O85" s="54"/>
      <c r="P85" s="54"/>
    </row>
    <row r="86" spans="1:17" x14ac:dyDescent="0.2">
      <c r="A86" s="55"/>
      <c r="B86" s="54"/>
      <c r="C86" s="54"/>
      <c r="D86" s="54"/>
      <c r="E86" s="54"/>
      <c r="F86" s="54"/>
      <c r="G86" s="54"/>
      <c r="H86" s="54"/>
      <c r="I86" s="54"/>
      <c r="J86" s="54"/>
      <c r="K86" s="54"/>
      <c r="L86" s="54"/>
      <c r="M86" s="54"/>
      <c r="N86" s="54"/>
      <c r="O86" s="54"/>
      <c r="P86" s="54"/>
      <c r="Q86" s="57"/>
    </row>
    <row r="87" spans="1:17" x14ac:dyDescent="0.2">
      <c r="B87" s="25"/>
      <c r="C87" s="25"/>
      <c r="D87" s="25"/>
      <c r="E87" s="58"/>
      <c r="F87" s="58"/>
      <c r="G87" s="58"/>
      <c r="H87" s="58"/>
    </row>
    <row r="88" spans="1:17" x14ac:dyDescent="0.2">
      <c r="B88" s="25"/>
      <c r="C88" s="25"/>
      <c r="D88" s="25"/>
      <c r="E88" s="58"/>
      <c r="F88" s="58"/>
      <c r="G88" s="58"/>
      <c r="H88" s="58"/>
    </row>
    <row r="89" spans="1:17" x14ac:dyDescent="0.2">
      <c r="B89" s="25"/>
      <c r="C89" s="25"/>
      <c r="D89" s="25"/>
      <c r="E89" s="58"/>
      <c r="F89" s="58"/>
      <c r="G89" s="58"/>
      <c r="H89" s="58"/>
    </row>
    <row r="90" spans="1:17" x14ac:dyDescent="0.2">
      <c r="B90" s="25"/>
      <c r="C90" s="25"/>
      <c r="D90" s="25"/>
      <c r="E90" s="58"/>
      <c r="F90" s="58"/>
      <c r="G90" s="58"/>
      <c r="H90" s="58"/>
    </row>
    <row r="91" spans="1:17" x14ac:dyDescent="0.2">
      <c r="B91" s="25"/>
      <c r="C91" s="25"/>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row>
    <row r="117" spans="2:8" x14ac:dyDescent="0.2">
      <c r="B117" s="25"/>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sheetData>
  <mergeCells count="10">
    <mergeCell ref="A76:N76"/>
    <mergeCell ref="A77:N77"/>
    <mergeCell ref="A78:N78"/>
    <mergeCell ref="K2:K3"/>
    <mergeCell ref="A61:N61"/>
    <mergeCell ref="A63:N63"/>
    <mergeCell ref="A72:N72"/>
    <mergeCell ref="A73:N73"/>
    <mergeCell ref="A74:N74"/>
    <mergeCell ref="A75:N75"/>
  </mergeCells>
  <dataValidations count="3">
    <dataValidation type="list" showInputMessage="1" showErrorMessage="1" sqref="B6">
      <formula1>"4, 5, 6"</formula1>
    </dataValidation>
    <dataValidation type="list" showInputMessage="1" showErrorMessage="1" sqref="J3">
      <formula1>"1,2"</formula1>
    </dataValidation>
    <dataValidation showInputMessage="1" showErrorMessage="1" sqref="I3 D6"/>
  </dataValidations>
  <hyperlinks>
    <hyperlink ref="K2:K3" location="Index!A1" display="GoTo Index"/>
  </hyperlinks>
  <pageMargins left="0.25" right="0.25" top="1" bottom="1" header="0.5" footer="0.5"/>
  <pageSetup scale="78" fitToHeight="99" pageOrder="overThenDown" orientation="portrait" blackAndWhite="1" r:id="rId1"/>
  <headerFooter alignWithMargins="0"/>
  <rowBreaks count="1" manualBreakCount="1">
    <brk id="61"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0">
    <pageSetUpPr fitToPage="1"/>
  </sheetPr>
  <dimension ref="A1:Q152"/>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140625" style="61" customWidth="1"/>
    <col min="5" max="5" width="13.7109375" style="59" customWidth="1"/>
    <col min="6" max="6" width="3.140625" style="60" customWidth="1"/>
    <col min="7" max="7" width="13.7109375" style="59" hidden="1" customWidth="1"/>
    <col min="8" max="8" width="3.140625" style="60" hidden="1" customWidth="1"/>
    <col min="9" max="9" width="13.7109375" style="59" customWidth="1"/>
    <col min="10" max="10" width="3.140625" style="60" customWidth="1"/>
    <col min="11" max="11" width="13.7109375" style="59" customWidth="1"/>
    <col min="12" max="12" width="3.140625" style="60" customWidth="1"/>
    <col min="13" max="13" width="13.7109375" style="59" hidden="1" customWidth="1"/>
    <col min="14" max="14" width="3.140625" style="60" hidden="1" customWidth="1"/>
    <col min="15" max="15" width="13.7109375" style="59" customWidth="1"/>
    <col min="16" max="16" width="2.85546875" style="60" customWidth="1"/>
    <col min="17" max="17" width="12.42578125" style="29" customWidth="1"/>
    <col min="18" max="18" width="12" style="29" customWidth="1"/>
    <col min="19"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2303</v>
      </c>
      <c r="C3" s="10" t="s">
        <v>2304</v>
      </c>
      <c r="D3" s="6"/>
      <c r="E3" s="11"/>
      <c r="F3" s="9"/>
      <c r="G3" s="11"/>
      <c r="H3" s="6"/>
      <c r="I3" s="11"/>
      <c r="J3" s="6"/>
      <c r="K3" s="1734"/>
      <c r="L3" s="6"/>
      <c r="M3" s="11"/>
      <c r="N3" s="6"/>
    </row>
    <row r="4" spans="1:16" s="4" customFormat="1" ht="15.75" x14ac:dyDescent="0.25">
      <c r="A4" s="1" t="s">
        <v>180</v>
      </c>
      <c r="B4" s="10" t="s">
        <v>2305</v>
      </c>
      <c r="C4" s="10" t="s">
        <v>64</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63"/>
      <c r="D10" s="63"/>
    </row>
    <row r="11" spans="1:16" s="37" customFormat="1" x14ac:dyDescent="0.2">
      <c r="A11" s="35" t="s">
        <v>2306</v>
      </c>
      <c r="B11" s="36"/>
      <c r="C11" s="63"/>
      <c r="D11" s="63"/>
    </row>
    <row r="12" spans="1:16" s="37" customFormat="1" x14ac:dyDescent="0.2">
      <c r="A12" s="124" t="s">
        <v>2307</v>
      </c>
      <c r="B12" s="36"/>
      <c r="C12" s="436">
        <v>6468068</v>
      </c>
      <c r="D12" s="63"/>
      <c r="E12" s="436">
        <v>6338673</v>
      </c>
      <c r="F12" s="111"/>
      <c r="G12" s="112">
        <v>5310185</v>
      </c>
      <c r="H12" s="111"/>
      <c r="I12" s="112">
        <v>6420684</v>
      </c>
      <c r="J12" s="111"/>
      <c r="K12" s="112">
        <v>6409142</v>
      </c>
      <c r="M12" s="89"/>
    </row>
    <row r="13" spans="1:16" s="37" customFormat="1" x14ac:dyDescent="0.2">
      <c r="A13" s="124" t="s">
        <v>2308</v>
      </c>
      <c r="B13" s="36"/>
      <c r="C13" s="436">
        <v>7456631</v>
      </c>
      <c r="D13" s="63"/>
      <c r="E13" s="436">
        <v>7642067</v>
      </c>
      <c r="F13" s="111"/>
      <c r="G13" s="1107">
        <v>6253906</v>
      </c>
      <c r="H13" s="1405"/>
      <c r="I13" s="112">
        <v>7571737</v>
      </c>
      <c r="J13" s="111"/>
      <c r="K13" s="112">
        <v>7620019</v>
      </c>
      <c r="M13" s="89"/>
    </row>
    <row r="14" spans="1:16" s="40" customFormat="1" x14ac:dyDescent="0.2">
      <c r="A14" s="124" t="s">
        <v>2309</v>
      </c>
      <c r="B14" s="117"/>
      <c r="C14" s="436">
        <v>11282065</v>
      </c>
      <c r="D14" s="63"/>
      <c r="E14" s="436">
        <v>11776490</v>
      </c>
      <c r="F14" s="111"/>
      <c r="G14" s="112">
        <v>11637499</v>
      </c>
      <c r="H14" s="111"/>
      <c r="I14" s="112">
        <v>11071721</v>
      </c>
      <c r="J14" s="111"/>
      <c r="K14" s="112">
        <v>11505292</v>
      </c>
      <c r="M14" s="1406"/>
    </row>
    <row r="15" spans="1:16" s="40" customFormat="1" x14ac:dyDescent="0.2">
      <c r="A15" s="94" t="s">
        <v>2310</v>
      </c>
      <c r="B15" s="117"/>
      <c r="C15" s="436">
        <v>8448408</v>
      </c>
      <c r="D15" s="63"/>
      <c r="E15" s="436">
        <v>8989257</v>
      </c>
      <c r="F15" s="111"/>
      <c r="G15" s="112">
        <v>8689363</v>
      </c>
      <c r="H15" s="111"/>
      <c r="I15" s="112">
        <v>8235926</v>
      </c>
      <c r="J15" s="111"/>
      <c r="K15" s="112">
        <v>8662036</v>
      </c>
      <c r="M15" s="77"/>
    </row>
    <row r="16" spans="1:16" s="40" customFormat="1" x14ac:dyDescent="0.2">
      <c r="A16" s="94" t="s">
        <v>2311</v>
      </c>
      <c r="B16" s="117"/>
      <c r="C16" s="436">
        <v>2833657</v>
      </c>
      <c r="D16" s="63"/>
      <c r="E16" s="436">
        <v>2787233</v>
      </c>
      <c r="F16" s="111"/>
      <c r="G16" s="112">
        <v>2948136</v>
      </c>
      <c r="H16" s="111"/>
      <c r="I16" s="112">
        <v>2835795</v>
      </c>
      <c r="J16" s="111"/>
      <c r="K16" s="112">
        <v>2843256</v>
      </c>
      <c r="M16" s="77"/>
    </row>
    <row r="17" spans="1:13" s="40" customFormat="1" x14ac:dyDescent="0.2">
      <c r="A17" s="124" t="s">
        <v>2312</v>
      </c>
      <c r="B17" s="117"/>
      <c r="C17" s="436">
        <v>2232084</v>
      </c>
      <c r="D17" s="63"/>
      <c r="E17" s="436">
        <v>2682776</v>
      </c>
      <c r="F17" s="111"/>
      <c r="G17" s="112">
        <v>2322260</v>
      </c>
      <c r="H17" s="111"/>
      <c r="I17" s="112">
        <v>2319210</v>
      </c>
      <c r="J17" s="111"/>
      <c r="K17" s="112">
        <v>2411357</v>
      </c>
      <c r="M17" s="77"/>
    </row>
    <row r="18" spans="1:13" s="40" customFormat="1" x14ac:dyDescent="0.2">
      <c r="A18" s="124" t="s">
        <v>2313</v>
      </c>
      <c r="B18" s="117"/>
      <c r="C18" s="436">
        <v>451282</v>
      </c>
      <c r="D18" s="63"/>
      <c r="E18" s="436">
        <v>488238</v>
      </c>
      <c r="F18" s="111"/>
      <c r="G18" s="112">
        <v>469513</v>
      </c>
      <c r="H18" s="111"/>
      <c r="I18" s="112">
        <v>458888</v>
      </c>
      <c r="J18" s="111"/>
      <c r="K18" s="112">
        <v>466136</v>
      </c>
      <c r="M18" s="120"/>
    </row>
    <row r="19" spans="1:13" s="40" customFormat="1" x14ac:dyDescent="0.2">
      <c r="A19" s="124" t="s">
        <v>2314</v>
      </c>
      <c r="B19" s="117"/>
      <c r="C19" s="436">
        <v>80654</v>
      </c>
      <c r="D19" s="63"/>
      <c r="E19" s="436">
        <v>85119</v>
      </c>
      <c r="F19" s="111"/>
      <c r="G19" s="1107">
        <v>83912</v>
      </c>
      <c r="H19" s="1405"/>
      <c r="I19" s="112">
        <v>87842</v>
      </c>
      <c r="J19" s="111"/>
      <c r="K19" s="112">
        <v>87842</v>
      </c>
      <c r="M19" s="77"/>
    </row>
    <row r="20" spans="1:13" s="40" customFormat="1" x14ac:dyDescent="0.2">
      <c r="A20" s="124" t="s">
        <v>2315</v>
      </c>
      <c r="B20" s="117"/>
      <c r="C20" s="436">
        <v>9597</v>
      </c>
      <c r="D20" s="63"/>
      <c r="E20" s="436">
        <v>8695</v>
      </c>
      <c r="F20" s="111"/>
      <c r="G20" s="1107">
        <v>9082</v>
      </c>
      <c r="H20" s="1405"/>
      <c r="I20" s="112">
        <v>8011</v>
      </c>
      <c r="J20" s="111"/>
      <c r="K20" s="112">
        <v>7495</v>
      </c>
      <c r="M20" s="77"/>
    </row>
    <row r="21" spans="1:13" s="40" customFormat="1" x14ac:dyDescent="0.2">
      <c r="A21" s="124" t="s">
        <v>2316</v>
      </c>
      <c r="B21" s="117"/>
      <c r="C21" s="436">
        <v>222069</v>
      </c>
      <c r="D21" s="63"/>
      <c r="E21" s="436">
        <v>249723</v>
      </c>
      <c r="F21" s="111"/>
      <c r="G21" s="1107">
        <v>293280</v>
      </c>
      <c r="H21" s="1405"/>
      <c r="I21" s="112">
        <v>265017</v>
      </c>
      <c r="J21" s="111"/>
      <c r="K21" s="112">
        <v>266517</v>
      </c>
      <c r="M21" s="77"/>
    </row>
    <row r="22" spans="1:13" s="40" customFormat="1" x14ac:dyDescent="0.2">
      <c r="A22" s="124" t="s">
        <v>2317</v>
      </c>
      <c r="B22" s="117"/>
      <c r="C22" s="63"/>
      <c r="D22" s="63"/>
      <c r="E22" s="63"/>
      <c r="F22" s="63"/>
      <c r="G22" s="112"/>
      <c r="H22" s="63"/>
      <c r="I22" s="112"/>
      <c r="J22" s="63"/>
      <c r="K22" s="63"/>
      <c r="M22" s="892"/>
    </row>
    <row r="23" spans="1:13" s="40" customFormat="1" x14ac:dyDescent="0.2">
      <c r="A23" s="94" t="s">
        <v>2318</v>
      </c>
      <c r="B23" s="117"/>
      <c r="C23" s="76">
        <v>39</v>
      </c>
      <c r="D23" s="76"/>
      <c r="E23" s="76">
        <v>39</v>
      </c>
      <c r="F23" s="76"/>
      <c r="G23" s="112">
        <v>39</v>
      </c>
      <c r="H23" s="76"/>
      <c r="I23" s="112">
        <v>41</v>
      </c>
      <c r="J23" s="76"/>
      <c r="K23" s="76">
        <v>41</v>
      </c>
      <c r="M23" s="77"/>
    </row>
    <row r="24" spans="1:13" s="40" customFormat="1" x14ac:dyDescent="0.2">
      <c r="A24" s="94" t="s">
        <v>2319</v>
      </c>
      <c r="B24" s="117"/>
      <c r="C24" s="76">
        <v>26</v>
      </c>
      <c r="D24" s="76"/>
      <c r="E24" s="76">
        <v>26</v>
      </c>
      <c r="F24" s="76"/>
      <c r="G24" s="112">
        <v>26</v>
      </c>
      <c r="H24" s="76"/>
      <c r="I24" s="112">
        <v>26</v>
      </c>
      <c r="J24" s="76"/>
      <c r="K24" s="76">
        <v>26</v>
      </c>
      <c r="M24" s="77"/>
    </row>
    <row r="25" spans="1:13" s="40" customFormat="1" x14ac:dyDescent="0.2">
      <c r="A25" s="94" t="s">
        <v>2320</v>
      </c>
      <c r="B25" s="117"/>
      <c r="C25" s="76">
        <v>26</v>
      </c>
      <c r="D25" s="76"/>
      <c r="E25" s="76">
        <v>26</v>
      </c>
      <c r="F25" s="76" t="s">
        <v>352</v>
      </c>
      <c r="G25" s="112">
        <v>26</v>
      </c>
      <c r="H25" s="76"/>
      <c r="I25" s="112">
        <v>26</v>
      </c>
      <c r="J25" s="76"/>
      <c r="K25" s="76">
        <v>26</v>
      </c>
      <c r="M25" s="77"/>
    </row>
    <row r="26" spans="1:13" s="40" customFormat="1" x14ac:dyDescent="0.2">
      <c r="A26" s="124" t="s">
        <v>2321</v>
      </c>
      <c r="B26" s="117"/>
      <c r="C26" s="63"/>
      <c r="D26" s="63"/>
      <c r="E26" s="63"/>
      <c r="F26" s="63"/>
      <c r="G26" s="112"/>
      <c r="H26" s="63"/>
      <c r="I26" s="112"/>
      <c r="J26" s="63"/>
      <c r="K26" s="63"/>
      <c r="M26" s="892"/>
    </row>
    <row r="27" spans="1:13" s="40" customFormat="1" x14ac:dyDescent="0.2">
      <c r="A27" s="94" t="s">
        <v>2322</v>
      </c>
      <c r="B27" s="117"/>
      <c r="C27" s="76">
        <v>1491654</v>
      </c>
      <c r="D27" s="63"/>
      <c r="E27" s="112">
        <v>1453555</v>
      </c>
      <c r="F27" s="111"/>
      <c r="G27" s="1107">
        <v>1750500</v>
      </c>
      <c r="H27" s="1405"/>
      <c r="I27" s="112">
        <v>1526232</v>
      </c>
      <c r="J27" s="111"/>
      <c r="K27" s="112">
        <v>1602544</v>
      </c>
      <c r="M27" s="77"/>
    </row>
    <row r="28" spans="1:13" s="40" customFormat="1" x14ac:dyDescent="0.2">
      <c r="A28" s="94" t="s">
        <v>2323</v>
      </c>
      <c r="B28" s="117"/>
      <c r="C28" s="76">
        <v>25318</v>
      </c>
      <c r="D28" s="63"/>
      <c r="E28" s="112">
        <v>21686</v>
      </c>
      <c r="F28" s="111"/>
      <c r="G28" s="1107">
        <v>31648</v>
      </c>
      <c r="H28" s="1405"/>
      <c r="I28" s="112">
        <v>23100</v>
      </c>
      <c r="J28" s="111"/>
      <c r="K28" s="112">
        <v>24000</v>
      </c>
      <c r="M28" s="77"/>
    </row>
    <row r="29" spans="1:13" s="40" customFormat="1" x14ac:dyDescent="0.2">
      <c r="A29" s="94" t="s">
        <v>2324</v>
      </c>
      <c r="B29" s="117"/>
      <c r="C29" s="76">
        <v>6584</v>
      </c>
      <c r="D29" s="63"/>
      <c r="E29" s="112">
        <v>5369</v>
      </c>
      <c r="F29" s="111"/>
      <c r="G29" s="1107">
        <v>6985</v>
      </c>
      <c r="H29" s="1405"/>
      <c r="I29" s="112">
        <v>6115</v>
      </c>
      <c r="J29" s="111"/>
      <c r="K29" s="112">
        <v>6216</v>
      </c>
      <c r="M29" s="77"/>
    </row>
    <row r="30" spans="1:13" s="40" customFormat="1" x14ac:dyDescent="0.2">
      <c r="A30" s="94" t="s">
        <v>2325</v>
      </c>
      <c r="B30" s="117"/>
      <c r="C30" s="112">
        <v>11567443</v>
      </c>
      <c r="D30" s="63"/>
      <c r="E30" s="112">
        <v>10791610</v>
      </c>
      <c r="F30" s="111"/>
      <c r="G30" s="112">
        <v>13880931</v>
      </c>
      <c r="H30" s="63"/>
      <c r="I30" s="112">
        <v>12086603</v>
      </c>
      <c r="J30" s="111"/>
      <c r="K30" s="112">
        <v>12734100</v>
      </c>
      <c r="M30" s="77"/>
    </row>
    <row r="31" spans="1:13" s="40" customFormat="1" x14ac:dyDescent="0.2">
      <c r="A31" s="124" t="s">
        <v>2326</v>
      </c>
      <c r="B31" s="117"/>
      <c r="C31" s="76">
        <v>13028719</v>
      </c>
      <c r="D31" s="63"/>
      <c r="E31" s="112">
        <v>14432842</v>
      </c>
      <c r="F31" s="111"/>
      <c r="G31" s="1107">
        <v>12612719</v>
      </c>
      <c r="H31" s="1405"/>
      <c r="I31" s="112">
        <v>14775000</v>
      </c>
      <c r="J31" s="111"/>
      <c r="K31" s="112">
        <v>14990000</v>
      </c>
      <c r="M31" s="77"/>
    </row>
    <row r="32" spans="1:13" s="40" customFormat="1" x14ac:dyDescent="0.2">
      <c r="A32" s="124" t="s">
        <v>2327</v>
      </c>
      <c r="B32" s="117"/>
      <c r="C32" s="76">
        <v>2418975</v>
      </c>
      <c r="D32" s="63"/>
      <c r="E32" s="112">
        <v>2186146</v>
      </c>
      <c r="F32" s="111"/>
      <c r="G32" s="1107">
        <v>2325575</v>
      </c>
      <c r="H32" s="1405"/>
      <c r="I32" s="112">
        <v>2261050</v>
      </c>
      <c r="J32" s="111"/>
      <c r="K32" s="112">
        <v>2295893</v>
      </c>
      <c r="M32" s="77"/>
    </row>
    <row r="33" spans="1:13" s="40" customFormat="1" x14ac:dyDescent="0.2">
      <c r="A33" s="94" t="s">
        <v>2328</v>
      </c>
      <c r="B33" s="117"/>
      <c r="C33" s="76">
        <v>2024584</v>
      </c>
      <c r="D33" s="63"/>
      <c r="E33" s="112">
        <v>1801030</v>
      </c>
      <c r="F33" s="111"/>
      <c r="G33" s="112">
        <v>2170766</v>
      </c>
      <c r="H33" s="63"/>
      <c r="I33" s="112">
        <v>1870000</v>
      </c>
      <c r="J33" s="111"/>
      <c r="K33" s="112">
        <v>1914844</v>
      </c>
      <c r="M33" s="77"/>
    </row>
    <row r="34" spans="1:13" s="40" customFormat="1" x14ac:dyDescent="0.2">
      <c r="A34" s="626" t="s">
        <v>2329</v>
      </c>
      <c r="B34" s="117"/>
      <c r="C34" s="76">
        <v>1829358</v>
      </c>
      <c r="D34" s="63"/>
      <c r="E34" s="112">
        <v>1639949</v>
      </c>
      <c r="F34" s="111"/>
      <c r="G34" s="112">
        <v>1953690</v>
      </c>
      <c r="H34" s="63"/>
      <c r="I34" s="112">
        <v>1700000</v>
      </c>
      <c r="J34" s="111"/>
      <c r="K34" s="112">
        <v>1723360</v>
      </c>
      <c r="M34" s="77"/>
    </row>
    <row r="35" spans="1:13" s="40" customFormat="1" x14ac:dyDescent="0.2">
      <c r="A35" s="626" t="s">
        <v>2330</v>
      </c>
      <c r="B35" s="117"/>
      <c r="C35" s="76">
        <v>195226</v>
      </c>
      <c r="D35" s="63"/>
      <c r="E35" s="112">
        <v>161081</v>
      </c>
      <c r="F35" s="111" t="s">
        <v>352</v>
      </c>
      <c r="G35" s="112">
        <v>217076</v>
      </c>
      <c r="H35" s="63"/>
      <c r="I35" s="112">
        <v>170000</v>
      </c>
      <c r="J35" s="111"/>
      <c r="K35" s="112">
        <v>191484</v>
      </c>
      <c r="M35" s="77"/>
    </row>
    <row r="36" spans="1:13" s="40" customFormat="1" x14ac:dyDescent="0.2">
      <c r="A36" s="94" t="s">
        <v>2331</v>
      </c>
      <c r="B36" s="117"/>
      <c r="C36" s="76">
        <v>329485</v>
      </c>
      <c r="D36" s="63"/>
      <c r="E36" s="112">
        <v>270929</v>
      </c>
      <c r="F36" s="111" t="s">
        <v>352</v>
      </c>
      <c r="G36" s="1107">
        <v>330000</v>
      </c>
      <c r="H36" s="1405"/>
      <c r="I36" s="112">
        <v>275000</v>
      </c>
      <c r="J36" s="111"/>
      <c r="K36" s="112">
        <v>277750</v>
      </c>
      <c r="M36" s="77"/>
    </row>
    <row r="37" spans="1:13" s="40" customFormat="1" x14ac:dyDescent="0.2">
      <c r="A37" s="626" t="s">
        <v>2332</v>
      </c>
      <c r="B37" s="117"/>
      <c r="C37" s="76">
        <v>280439</v>
      </c>
      <c r="D37" s="63"/>
      <c r="E37" s="112">
        <v>237513</v>
      </c>
      <c r="F37" s="111"/>
      <c r="G37" s="1107">
        <v>280000</v>
      </c>
      <c r="H37" s="1405"/>
      <c r="I37" s="112">
        <v>240000</v>
      </c>
      <c r="J37" s="111"/>
      <c r="K37" s="112">
        <v>242400</v>
      </c>
      <c r="M37" s="77"/>
    </row>
    <row r="38" spans="1:13" s="40" customFormat="1" x14ac:dyDescent="0.2">
      <c r="A38" s="626" t="s">
        <v>2333</v>
      </c>
      <c r="B38" s="117"/>
      <c r="C38" s="76">
        <v>49046</v>
      </c>
      <c r="D38" s="63"/>
      <c r="E38" s="112">
        <v>33416</v>
      </c>
      <c r="F38" s="111"/>
      <c r="G38" s="1107">
        <v>50000</v>
      </c>
      <c r="H38" s="1405"/>
      <c r="I38" s="112">
        <v>35000</v>
      </c>
      <c r="J38" s="111"/>
      <c r="K38" s="112">
        <v>35350</v>
      </c>
      <c r="M38" s="77"/>
    </row>
    <row r="39" spans="1:13" s="40" customFormat="1" x14ac:dyDescent="0.2">
      <c r="A39" s="94" t="s">
        <v>2334</v>
      </c>
      <c r="B39" s="117"/>
      <c r="C39" s="76">
        <v>10190</v>
      </c>
      <c r="D39" s="63"/>
      <c r="E39" s="112">
        <v>8681</v>
      </c>
      <c r="F39" s="111"/>
      <c r="G39" s="1107">
        <v>10000</v>
      </c>
      <c r="H39" s="1405"/>
      <c r="I39" s="112">
        <v>8700</v>
      </c>
      <c r="J39" s="111"/>
      <c r="K39" s="112">
        <v>8745</v>
      </c>
      <c r="M39" s="77"/>
    </row>
    <row r="40" spans="1:13" s="40" customFormat="1" x14ac:dyDescent="0.2">
      <c r="A40" s="94" t="s">
        <v>2335</v>
      </c>
      <c r="B40" s="117"/>
      <c r="C40" s="76">
        <v>13553</v>
      </c>
      <c r="D40" s="63"/>
      <c r="E40" s="112">
        <v>12437</v>
      </c>
      <c r="F40" s="111"/>
      <c r="G40" s="1107">
        <v>13675</v>
      </c>
      <c r="H40" s="1405"/>
      <c r="I40" s="112">
        <v>12500</v>
      </c>
      <c r="J40" s="111"/>
      <c r="K40" s="112">
        <v>12554</v>
      </c>
      <c r="M40" s="77"/>
    </row>
    <row r="41" spans="1:13" s="40" customFormat="1" x14ac:dyDescent="0.2">
      <c r="A41" s="626" t="s">
        <v>2336</v>
      </c>
      <c r="B41" s="117"/>
      <c r="C41" s="76">
        <v>8264</v>
      </c>
      <c r="D41" s="63"/>
      <c r="E41" s="112">
        <v>8084</v>
      </c>
      <c r="F41" s="111"/>
      <c r="G41" s="1107">
        <v>8300</v>
      </c>
      <c r="H41" s="1405"/>
      <c r="I41" s="112">
        <v>8100</v>
      </c>
      <c r="J41" s="111"/>
      <c r="K41" s="112">
        <v>8135</v>
      </c>
      <c r="M41" s="77"/>
    </row>
    <row r="42" spans="1:13" s="40" customFormat="1" x14ac:dyDescent="0.2">
      <c r="A42" s="626" t="s">
        <v>2337</v>
      </c>
      <c r="B42" s="117"/>
      <c r="C42" s="76">
        <v>5289</v>
      </c>
      <c r="D42" s="63"/>
      <c r="E42" s="112">
        <v>4353</v>
      </c>
      <c r="F42" s="111"/>
      <c r="G42" s="1107">
        <v>5375</v>
      </c>
      <c r="H42" s="1405"/>
      <c r="I42" s="112">
        <v>4400</v>
      </c>
      <c r="J42" s="111"/>
      <c r="K42" s="112">
        <v>4419</v>
      </c>
      <c r="M42" s="77"/>
    </row>
    <row r="43" spans="1:13" s="118" customFormat="1" x14ac:dyDescent="0.2">
      <c r="A43" s="94" t="s">
        <v>2338</v>
      </c>
      <c r="B43" s="117"/>
      <c r="C43" s="112">
        <v>78426</v>
      </c>
      <c r="D43" s="111"/>
      <c r="E43" s="112">
        <v>77219</v>
      </c>
      <c r="F43" s="111"/>
      <c r="G43" s="1107">
        <v>79000</v>
      </c>
      <c r="H43" s="1405"/>
      <c r="I43" s="112">
        <v>78150</v>
      </c>
      <c r="J43" s="111"/>
      <c r="K43" s="112">
        <v>79000</v>
      </c>
      <c r="M43" s="77"/>
    </row>
    <row r="44" spans="1:13" s="118" customFormat="1" x14ac:dyDescent="0.2">
      <c r="A44" s="626" t="s">
        <v>2339</v>
      </c>
      <c r="B44" s="117"/>
      <c r="C44" s="112">
        <v>46851</v>
      </c>
      <c r="D44" s="111"/>
      <c r="E44" s="112">
        <v>46508</v>
      </c>
      <c r="F44" s="111"/>
      <c r="G44" s="1107">
        <v>47000</v>
      </c>
      <c r="H44" s="1405"/>
      <c r="I44" s="112">
        <v>47150</v>
      </c>
      <c r="J44" s="111"/>
      <c r="K44" s="112">
        <v>48000</v>
      </c>
      <c r="M44" s="77"/>
    </row>
    <row r="45" spans="1:13" s="118" customFormat="1" x14ac:dyDescent="0.2">
      <c r="A45" s="626" t="s">
        <v>2340</v>
      </c>
      <c r="B45" s="117"/>
      <c r="C45" s="112">
        <v>31575</v>
      </c>
      <c r="D45" s="111"/>
      <c r="E45" s="112">
        <v>30711</v>
      </c>
      <c r="F45" s="111"/>
      <c r="G45" s="1107">
        <v>32000</v>
      </c>
      <c r="H45" s="1405"/>
      <c r="I45" s="112">
        <v>31000</v>
      </c>
      <c r="J45" s="111"/>
      <c r="K45" s="112">
        <v>31000</v>
      </c>
      <c r="M45" s="77"/>
    </row>
    <row r="46" spans="1:13" s="118" customFormat="1" x14ac:dyDescent="0.2">
      <c r="A46" s="94" t="s">
        <v>2341</v>
      </c>
      <c r="B46" s="117"/>
      <c r="C46" s="112">
        <v>2354</v>
      </c>
      <c r="D46" s="111"/>
      <c r="E46" s="112">
        <v>2814</v>
      </c>
      <c r="F46" s="111"/>
      <c r="G46" s="1107">
        <v>2400</v>
      </c>
      <c r="H46" s="1405"/>
      <c r="I46" s="112">
        <v>2900</v>
      </c>
      <c r="J46" s="111"/>
      <c r="K46" s="112">
        <v>3000</v>
      </c>
      <c r="M46" s="77"/>
    </row>
    <row r="47" spans="1:13" s="118" customFormat="1" x14ac:dyDescent="0.2">
      <c r="A47" s="94" t="s">
        <v>2342</v>
      </c>
      <c r="B47" s="117"/>
      <c r="C47" s="112">
        <v>14785</v>
      </c>
      <c r="D47" s="111"/>
      <c r="E47" s="112">
        <v>13036</v>
      </c>
      <c r="F47" s="111"/>
      <c r="G47" s="1107">
        <v>15000</v>
      </c>
      <c r="H47" s="1405"/>
      <c r="I47" s="112">
        <v>13800</v>
      </c>
      <c r="J47" s="111"/>
      <c r="K47" s="112">
        <v>13950</v>
      </c>
      <c r="M47" s="77"/>
    </row>
    <row r="48" spans="1:13" s="118" customFormat="1" x14ac:dyDescent="0.2">
      <c r="A48" s="94" t="s">
        <v>2343</v>
      </c>
      <c r="B48" s="117"/>
      <c r="C48" s="112">
        <v>4411</v>
      </c>
      <c r="D48" s="111"/>
      <c r="E48" s="112">
        <v>3622</v>
      </c>
      <c r="F48" s="111"/>
      <c r="G48" s="1107">
        <v>4000</v>
      </c>
      <c r="H48" s="1405"/>
      <c r="I48" s="112">
        <v>4071</v>
      </c>
      <c r="J48" s="111"/>
      <c r="K48" s="112">
        <v>4115</v>
      </c>
      <c r="M48" s="120"/>
    </row>
    <row r="49" spans="1:13" s="40" customFormat="1" x14ac:dyDescent="0.2">
      <c r="A49" s="124" t="s">
        <v>2344</v>
      </c>
      <c r="B49" s="117"/>
      <c r="C49" s="63"/>
      <c r="D49" s="63"/>
      <c r="E49" s="63"/>
      <c r="F49" s="63"/>
      <c r="G49" s="76"/>
      <c r="H49" s="63"/>
      <c r="I49" s="76"/>
      <c r="J49" s="111"/>
      <c r="K49" s="63"/>
      <c r="M49" s="42"/>
    </row>
    <row r="50" spans="1:13" s="40" customFormat="1" x14ac:dyDescent="0.2">
      <c r="A50" s="94" t="s">
        <v>2345</v>
      </c>
      <c r="B50" s="117"/>
      <c r="C50" s="76">
        <v>209439</v>
      </c>
      <c r="D50" s="63"/>
      <c r="E50" s="112">
        <v>182693</v>
      </c>
      <c r="F50" s="111"/>
      <c r="G50" s="112">
        <v>213697</v>
      </c>
      <c r="H50" s="111"/>
      <c r="I50" s="112">
        <v>200962</v>
      </c>
      <c r="J50" s="111"/>
      <c r="K50" s="112">
        <v>221058</v>
      </c>
      <c r="M50" s="77"/>
    </row>
    <row r="51" spans="1:13" s="40" customFormat="1" x14ac:dyDescent="0.2">
      <c r="A51" s="94" t="s">
        <v>2346</v>
      </c>
      <c r="B51" s="117"/>
      <c r="C51" s="76">
        <v>395175</v>
      </c>
      <c r="D51" s="63"/>
      <c r="E51" s="112">
        <v>367267</v>
      </c>
      <c r="F51" s="111"/>
      <c r="G51" s="112">
        <v>484020</v>
      </c>
      <c r="H51" s="111"/>
      <c r="I51" s="112">
        <v>403993</v>
      </c>
      <c r="J51" s="111"/>
      <c r="K51" s="112">
        <v>444000</v>
      </c>
      <c r="M51" s="77"/>
    </row>
    <row r="52" spans="1:13" s="40" customFormat="1" x14ac:dyDescent="0.2">
      <c r="A52" s="94" t="s">
        <v>2347</v>
      </c>
      <c r="B52" s="117"/>
      <c r="C52" s="76">
        <v>264923</v>
      </c>
      <c r="D52" s="63"/>
      <c r="E52" s="112">
        <v>239213</v>
      </c>
      <c r="F52" s="111"/>
      <c r="G52" s="112">
        <v>275000</v>
      </c>
      <c r="H52" s="111"/>
      <c r="I52" s="112">
        <v>241605</v>
      </c>
      <c r="J52" s="111"/>
      <c r="K52" s="112">
        <v>244021</v>
      </c>
      <c r="M52" s="77"/>
    </row>
    <row r="53" spans="1:13" s="40" customFormat="1" x14ac:dyDescent="0.2">
      <c r="A53" s="124" t="s">
        <v>2348</v>
      </c>
      <c r="B53" s="117"/>
      <c r="C53" s="63"/>
      <c r="D53" s="63"/>
      <c r="E53" s="63"/>
      <c r="F53" s="63"/>
      <c r="G53" s="112"/>
      <c r="H53" s="63"/>
      <c r="I53" s="112"/>
      <c r="J53" s="111"/>
      <c r="K53" s="63"/>
      <c r="M53" s="77"/>
    </row>
    <row r="54" spans="1:13" s="40" customFormat="1" x14ac:dyDescent="0.2">
      <c r="A54" s="94" t="s">
        <v>2349</v>
      </c>
      <c r="B54" s="117"/>
      <c r="C54" s="76">
        <v>22507</v>
      </c>
      <c r="D54" s="63"/>
      <c r="E54" s="76">
        <v>22124</v>
      </c>
      <c r="F54" s="63"/>
      <c r="G54" s="112">
        <v>22507</v>
      </c>
      <c r="H54" s="63"/>
      <c r="I54" s="112">
        <v>21737</v>
      </c>
      <c r="J54" s="111"/>
      <c r="K54" s="112">
        <v>21356</v>
      </c>
      <c r="M54" s="77"/>
    </row>
    <row r="55" spans="1:13" s="40" customFormat="1" x14ac:dyDescent="0.2">
      <c r="A55" s="94" t="s">
        <v>2350</v>
      </c>
      <c r="B55" s="117"/>
      <c r="C55" s="112">
        <v>172133</v>
      </c>
      <c r="D55" s="402"/>
      <c r="E55" s="112">
        <v>168670</v>
      </c>
      <c r="F55" s="111"/>
      <c r="G55" s="1107">
        <v>179068</v>
      </c>
      <c r="H55" s="1405"/>
      <c r="I55" s="112">
        <v>172029</v>
      </c>
      <c r="J55" s="111"/>
      <c r="K55" s="112">
        <v>175469</v>
      </c>
      <c r="M55" s="77"/>
    </row>
    <row r="56" spans="1:13" s="40" customFormat="1" x14ac:dyDescent="0.2">
      <c r="A56" s="94" t="s">
        <v>2351</v>
      </c>
      <c r="B56" s="117"/>
      <c r="C56" s="76">
        <v>754</v>
      </c>
      <c r="D56" s="63"/>
      <c r="E56" s="76">
        <v>571</v>
      </c>
      <c r="F56" s="63"/>
      <c r="G56" s="112">
        <v>754</v>
      </c>
      <c r="H56" s="63"/>
      <c r="I56" s="112">
        <v>434</v>
      </c>
      <c r="J56" s="111"/>
      <c r="K56" s="112">
        <v>330</v>
      </c>
      <c r="M56" s="77"/>
    </row>
    <row r="57" spans="1:13" s="40" customFormat="1" x14ac:dyDescent="0.2">
      <c r="A57" s="124" t="s">
        <v>2352</v>
      </c>
      <c r="B57" s="117"/>
      <c r="C57" s="63"/>
      <c r="D57" s="63"/>
      <c r="E57" s="63"/>
      <c r="F57" s="63"/>
      <c r="G57" s="112"/>
      <c r="H57" s="63"/>
      <c r="I57" s="112"/>
      <c r="J57" s="111"/>
      <c r="K57" s="63"/>
      <c r="M57" s="42"/>
    </row>
    <row r="58" spans="1:13" s="40" customFormat="1" x14ac:dyDescent="0.2">
      <c r="A58" s="94" t="s">
        <v>2353</v>
      </c>
      <c r="B58" s="117"/>
      <c r="C58" s="76">
        <v>140470</v>
      </c>
      <c r="D58" s="63"/>
      <c r="E58" s="112">
        <v>144143</v>
      </c>
      <c r="F58" s="111"/>
      <c r="G58" s="112">
        <v>154868</v>
      </c>
      <c r="H58" s="111"/>
      <c r="I58" s="112">
        <v>154797</v>
      </c>
      <c r="J58" s="111"/>
      <c r="K58" s="112">
        <v>146470</v>
      </c>
      <c r="M58" s="77"/>
    </row>
    <row r="59" spans="1:13" s="40" customFormat="1" x14ac:dyDescent="0.2">
      <c r="A59" s="94" t="s">
        <v>2354</v>
      </c>
      <c r="B59" s="117"/>
      <c r="C59" s="76">
        <v>41022</v>
      </c>
      <c r="D59" s="63"/>
      <c r="E59" s="112">
        <v>42724</v>
      </c>
      <c r="F59" s="111"/>
      <c r="G59" s="112">
        <v>42260</v>
      </c>
      <c r="H59" s="111"/>
      <c r="I59" s="112">
        <v>42078</v>
      </c>
      <c r="J59" s="111"/>
      <c r="K59" s="112">
        <v>41941</v>
      </c>
      <c r="M59" s="77"/>
    </row>
    <row r="60" spans="1:13" s="40" customFormat="1" x14ac:dyDescent="0.2">
      <c r="A60" s="94" t="s">
        <v>2347</v>
      </c>
      <c r="B60" s="117"/>
      <c r="C60" s="76">
        <v>17997</v>
      </c>
      <c r="D60" s="63"/>
      <c r="E60" s="112">
        <v>16969</v>
      </c>
      <c r="F60" s="111"/>
      <c r="G60" s="112">
        <v>21000</v>
      </c>
      <c r="H60" s="111"/>
      <c r="I60" s="112">
        <v>17128</v>
      </c>
      <c r="J60" s="111"/>
      <c r="K60" s="112">
        <v>17310</v>
      </c>
      <c r="M60" s="77"/>
    </row>
    <row r="61" spans="1:13" s="40" customFormat="1" x14ac:dyDescent="0.2">
      <c r="A61" s="124" t="s">
        <v>2355</v>
      </c>
      <c r="B61" s="117"/>
      <c r="C61" s="63"/>
      <c r="D61" s="63"/>
      <c r="E61" s="63"/>
      <c r="F61" s="63"/>
      <c r="G61" s="112"/>
      <c r="H61" s="63"/>
      <c r="I61" s="112"/>
      <c r="J61" s="111"/>
      <c r="K61" s="63"/>
      <c r="M61" s="77"/>
    </row>
    <row r="62" spans="1:13" s="40" customFormat="1" x14ac:dyDescent="0.2">
      <c r="A62" s="94" t="s">
        <v>2356</v>
      </c>
      <c r="B62" s="117"/>
      <c r="C62" s="76">
        <v>417412</v>
      </c>
      <c r="D62" s="63"/>
      <c r="E62" s="112">
        <v>321625</v>
      </c>
      <c r="F62" s="111"/>
      <c r="G62" s="112">
        <v>319324</v>
      </c>
      <c r="H62" s="111"/>
      <c r="I62" s="112">
        <v>320289</v>
      </c>
      <c r="J62" s="111"/>
      <c r="K62" s="112">
        <v>322757</v>
      </c>
      <c r="M62" s="77"/>
    </row>
    <row r="63" spans="1:13" s="40" customFormat="1" x14ac:dyDescent="0.2">
      <c r="A63" s="94" t="s">
        <v>2357</v>
      </c>
      <c r="B63" s="117"/>
      <c r="C63" s="76">
        <v>332693</v>
      </c>
      <c r="D63" s="63"/>
      <c r="E63" s="112">
        <v>338421</v>
      </c>
      <c r="F63" s="111"/>
      <c r="G63" s="112">
        <v>333416</v>
      </c>
      <c r="H63" s="111"/>
      <c r="I63" s="112">
        <v>338243</v>
      </c>
      <c r="J63" s="111"/>
      <c r="K63" s="112">
        <v>340027</v>
      </c>
      <c r="M63" s="77"/>
    </row>
    <row r="64" spans="1:13" s="40" customFormat="1" x14ac:dyDescent="0.2">
      <c r="A64" s="94" t="s">
        <v>2358</v>
      </c>
      <c r="B64" s="117"/>
      <c r="C64" s="76">
        <v>6130</v>
      </c>
      <c r="D64" s="63"/>
      <c r="E64" s="112">
        <v>5929</v>
      </c>
      <c r="F64" s="111"/>
      <c r="G64" s="112">
        <v>6280</v>
      </c>
      <c r="H64" s="111"/>
      <c r="I64" s="112">
        <v>6025</v>
      </c>
      <c r="J64" s="111"/>
      <c r="K64" s="112">
        <v>6125</v>
      </c>
      <c r="M64" s="77"/>
    </row>
    <row r="65" spans="1:13" s="40" customFormat="1" x14ac:dyDescent="0.2">
      <c r="A65" s="94" t="s">
        <v>2359</v>
      </c>
      <c r="B65" s="117"/>
      <c r="C65" s="76">
        <v>189175</v>
      </c>
      <c r="D65" s="63"/>
      <c r="E65" s="112">
        <v>187336</v>
      </c>
      <c r="F65" s="111"/>
      <c r="G65" s="112">
        <v>189175</v>
      </c>
      <c r="H65" s="111"/>
      <c r="I65" s="112">
        <v>188975</v>
      </c>
      <c r="J65" s="111"/>
      <c r="K65" s="112">
        <v>189100</v>
      </c>
      <c r="M65" s="77"/>
    </row>
    <row r="66" spans="1:13" s="40" customFormat="1" x14ac:dyDescent="0.2">
      <c r="A66" s="94" t="s">
        <v>2360</v>
      </c>
      <c r="B66" s="117"/>
      <c r="C66" s="76">
        <v>268102</v>
      </c>
      <c r="D66" s="63"/>
      <c r="E66" s="112">
        <v>270636</v>
      </c>
      <c r="F66" s="111"/>
      <c r="G66" s="112">
        <v>269012</v>
      </c>
      <c r="H66" s="111"/>
      <c r="I66" s="112">
        <v>271254</v>
      </c>
      <c r="J66" s="111"/>
      <c r="K66" s="112">
        <v>272010</v>
      </c>
      <c r="M66" s="77"/>
    </row>
    <row r="67" spans="1:13" s="40" customFormat="1" x14ac:dyDescent="0.2">
      <c r="A67" s="124" t="s">
        <v>2361</v>
      </c>
      <c r="B67" s="117"/>
      <c r="C67" s="76">
        <v>4144</v>
      </c>
      <c r="D67" s="63"/>
      <c r="E67" s="112">
        <v>4057</v>
      </c>
      <c r="F67" s="111"/>
      <c r="G67" s="1107">
        <v>4150</v>
      </c>
      <c r="H67" s="1405"/>
      <c r="I67" s="112">
        <v>4036</v>
      </c>
      <c r="J67" s="111"/>
      <c r="K67" s="112">
        <v>4012</v>
      </c>
      <c r="M67" s="77"/>
    </row>
    <row r="68" spans="1:13" s="40" customFormat="1" x14ac:dyDescent="0.2">
      <c r="A68" s="124" t="s">
        <v>2362</v>
      </c>
      <c r="B68" s="117"/>
      <c r="C68" s="63"/>
      <c r="D68" s="63"/>
      <c r="E68" s="63"/>
      <c r="F68" s="111"/>
      <c r="G68" s="112"/>
      <c r="H68" s="63"/>
      <c r="I68" s="112"/>
      <c r="J68" s="111"/>
      <c r="K68" s="63"/>
      <c r="M68" s="77"/>
    </row>
    <row r="69" spans="1:13" s="40" customFormat="1" x14ac:dyDescent="0.2">
      <c r="A69" s="94" t="s">
        <v>2363</v>
      </c>
      <c r="B69" s="117"/>
      <c r="C69" s="76">
        <v>4277395</v>
      </c>
      <c r="D69" s="63"/>
      <c r="E69" s="112">
        <v>4408256</v>
      </c>
      <c r="F69" s="111"/>
      <c r="G69" s="1107">
        <v>4108010</v>
      </c>
      <c r="H69" s="1405"/>
      <c r="I69" s="112">
        <v>4658256</v>
      </c>
      <c r="J69" s="111"/>
      <c r="K69" s="112">
        <v>4849081</v>
      </c>
      <c r="M69" s="77"/>
    </row>
    <row r="70" spans="1:13" s="40" customFormat="1" x14ac:dyDescent="0.2">
      <c r="A70" s="124" t="s">
        <v>2364</v>
      </c>
      <c r="B70" s="117"/>
      <c r="C70" s="63"/>
      <c r="D70" s="63"/>
      <c r="E70" s="63"/>
      <c r="F70" s="63"/>
      <c r="G70" s="76"/>
      <c r="H70" s="63"/>
      <c r="I70" s="76"/>
      <c r="J70" s="111"/>
      <c r="K70" s="63"/>
      <c r="M70" s="42"/>
    </row>
    <row r="71" spans="1:13" s="40" customFormat="1" x14ac:dyDescent="0.2">
      <c r="A71" s="94" t="s">
        <v>2365</v>
      </c>
      <c r="B71" s="117"/>
      <c r="C71" s="76">
        <v>3931</v>
      </c>
      <c r="D71" s="63"/>
      <c r="E71" s="112">
        <v>3932</v>
      </c>
      <c r="F71" s="111"/>
      <c r="G71" s="112">
        <v>3995</v>
      </c>
      <c r="H71" s="111"/>
      <c r="I71" s="112">
        <v>3998</v>
      </c>
      <c r="J71" s="111"/>
      <c r="K71" s="112">
        <v>4041</v>
      </c>
      <c r="M71" s="77"/>
    </row>
    <row r="72" spans="1:13" s="40" customFormat="1" x14ac:dyDescent="0.2">
      <c r="A72" s="94" t="s">
        <v>2366</v>
      </c>
      <c r="B72" s="117"/>
      <c r="C72" s="76">
        <v>296</v>
      </c>
      <c r="D72" s="63"/>
      <c r="E72" s="112">
        <v>292</v>
      </c>
      <c r="F72" s="111"/>
      <c r="G72" s="112">
        <v>318</v>
      </c>
      <c r="H72" s="111"/>
      <c r="I72" s="112">
        <v>297</v>
      </c>
      <c r="J72" s="111"/>
      <c r="K72" s="112">
        <v>301</v>
      </c>
      <c r="M72" s="77"/>
    </row>
    <row r="73" spans="1:13" s="40" customFormat="1" x14ac:dyDescent="0.2">
      <c r="A73" s="94" t="s">
        <v>2367</v>
      </c>
      <c r="B73" s="117"/>
      <c r="C73" s="76">
        <v>1568</v>
      </c>
      <c r="D73" s="63"/>
      <c r="E73" s="112">
        <v>1567</v>
      </c>
      <c r="F73" s="111"/>
      <c r="G73" s="112">
        <v>1590</v>
      </c>
      <c r="H73" s="111"/>
      <c r="I73" s="112">
        <v>1610</v>
      </c>
      <c r="J73" s="111"/>
      <c r="K73" s="112">
        <v>1621</v>
      </c>
      <c r="M73" s="77"/>
    </row>
    <row r="74" spans="1:13" s="40" customFormat="1" x14ac:dyDescent="0.2">
      <c r="A74" s="94" t="s">
        <v>2368</v>
      </c>
      <c r="B74" s="117"/>
      <c r="C74" s="76">
        <v>43</v>
      </c>
      <c r="D74" s="63"/>
      <c r="E74" s="112">
        <v>44</v>
      </c>
      <c r="F74" s="111"/>
      <c r="G74" s="112">
        <v>42</v>
      </c>
      <c r="H74" s="111"/>
      <c r="I74" s="112">
        <v>45</v>
      </c>
      <c r="J74" s="111"/>
      <c r="K74" s="112">
        <v>46</v>
      </c>
      <c r="M74" s="77"/>
    </row>
    <row r="75" spans="1:13" s="40" customFormat="1" x14ac:dyDescent="0.2">
      <c r="A75" s="94" t="s">
        <v>2369</v>
      </c>
      <c r="B75" s="117"/>
      <c r="C75" s="76">
        <v>1668</v>
      </c>
      <c r="D75" s="63"/>
      <c r="E75" s="112">
        <v>1622</v>
      </c>
      <c r="F75" s="111"/>
      <c r="G75" s="112">
        <v>1688</v>
      </c>
      <c r="H75" s="111"/>
      <c r="I75" s="112">
        <v>1645</v>
      </c>
      <c r="J75" s="111"/>
      <c r="K75" s="112">
        <v>1649</v>
      </c>
      <c r="M75" s="77"/>
    </row>
    <row r="76" spans="1:13" s="40" customFormat="1" x14ac:dyDescent="0.2">
      <c r="A76" s="94" t="s">
        <v>2370</v>
      </c>
      <c r="B76" s="117"/>
      <c r="C76" s="76">
        <v>1346</v>
      </c>
      <c r="D76" s="63"/>
      <c r="E76" s="112">
        <v>1244</v>
      </c>
      <c r="F76" s="111"/>
      <c r="G76" s="112">
        <v>1378</v>
      </c>
      <c r="H76" s="111"/>
      <c r="I76" s="112">
        <v>1286</v>
      </c>
      <c r="J76" s="111"/>
      <c r="K76" s="112">
        <v>1291</v>
      </c>
      <c r="M76" s="77"/>
    </row>
    <row r="77" spans="1:13" s="40" customFormat="1" x14ac:dyDescent="0.2">
      <c r="A77" s="124"/>
      <c r="B77" s="117"/>
      <c r="C77" s="63"/>
      <c r="D77" s="63"/>
    </row>
    <row r="78" spans="1:13" s="37" customFormat="1" x14ac:dyDescent="0.2">
      <c r="A78" s="123" t="s">
        <v>194</v>
      </c>
      <c r="B78" s="644"/>
      <c r="C78" s="63"/>
      <c r="D78" s="63"/>
    </row>
    <row r="79" spans="1:13" s="37" customFormat="1" x14ac:dyDescent="0.2">
      <c r="A79" s="123" t="s">
        <v>195</v>
      </c>
      <c r="B79" s="644"/>
      <c r="C79" s="63"/>
      <c r="D79" s="63"/>
    </row>
    <row r="80" spans="1:13" s="40" customFormat="1" x14ac:dyDescent="0.2">
      <c r="A80" s="124" t="s">
        <v>196</v>
      </c>
      <c r="B80" s="117"/>
      <c r="C80" s="74"/>
      <c r="D80" s="74"/>
      <c r="E80" s="74"/>
      <c r="F80" s="74"/>
      <c r="G80" s="78"/>
      <c r="H80" s="74"/>
      <c r="I80" s="78"/>
      <c r="J80" s="74"/>
      <c r="K80" s="74"/>
    </row>
    <row r="81" spans="1:17" s="40" customFormat="1" x14ac:dyDescent="0.2">
      <c r="A81" s="94" t="s">
        <v>262</v>
      </c>
      <c r="B81" s="117"/>
      <c r="C81" s="78">
        <v>2043</v>
      </c>
      <c r="D81" s="78"/>
      <c r="E81" s="78">
        <v>2061</v>
      </c>
      <c r="F81" s="78"/>
      <c r="G81" s="78">
        <v>2052</v>
      </c>
      <c r="H81" s="74"/>
      <c r="I81" s="78">
        <v>2112</v>
      </c>
      <c r="J81" s="74"/>
      <c r="K81" s="78">
        <v>2112</v>
      </c>
      <c r="M81" s="77"/>
    </row>
    <row r="82" spans="1:17" s="40" customFormat="1" x14ac:dyDescent="0.2">
      <c r="A82" s="94" t="s">
        <v>198</v>
      </c>
      <c r="B82" s="117"/>
      <c r="C82" s="78">
        <v>2043</v>
      </c>
      <c r="D82" s="74"/>
      <c r="E82" s="78">
        <v>2061</v>
      </c>
      <c r="F82" s="74"/>
      <c r="G82" s="78">
        <v>2052</v>
      </c>
      <c r="H82" s="74"/>
      <c r="I82" s="78">
        <f>SUM(I81)</f>
        <v>2112</v>
      </c>
      <c r="J82" s="74"/>
      <c r="K82" s="78">
        <v>2112</v>
      </c>
      <c r="M82" s="77"/>
    </row>
    <row r="83" spans="1:17" s="40" customFormat="1" x14ac:dyDescent="0.2">
      <c r="A83" s="124" t="s">
        <v>199</v>
      </c>
      <c r="B83" s="117"/>
      <c r="C83" s="74"/>
      <c r="D83" s="74"/>
      <c r="E83" s="74"/>
      <c r="F83" s="74"/>
      <c r="G83" s="74"/>
      <c r="H83" s="74"/>
      <c r="I83" s="74"/>
      <c r="J83" s="74"/>
      <c r="K83" s="74"/>
    </row>
    <row r="84" spans="1:17" s="40" customFormat="1" x14ac:dyDescent="0.2">
      <c r="A84" s="94" t="s">
        <v>2306</v>
      </c>
      <c r="B84" s="117"/>
      <c r="C84" s="78">
        <v>1933</v>
      </c>
      <c r="D84" s="78"/>
      <c r="E84" s="78">
        <v>1955</v>
      </c>
      <c r="F84" s="78"/>
      <c r="G84" s="78">
        <v>1948</v>
      </c>
      <c r="H84" s="74"/>
      <c r="I84" s="78">
        <v>2008</v>
      </c>
      <c r="J84" s="74"/>
      <c r="K84" s="78">
        <v>2008</v>
      </c>
      <c r="M84" s="77"/>
    </row>
    <row r="85" spans="1:17" s="40" customFormat="1" x14ac:dyDescent="0.2">
      <c r="A85" s="94" t="s">
        <v>2371</v>
      </c>
      <c r="B85" s="117"/>
      <c r="C85" s="78">
        <v>110</v>
      </c>
      <c r="D85" s="78"/>
      <c r="E85" s="78">
        <v>106</v>
      </c>
      <c r="F85" s="78"/>
      <c r="G85" s="78">
        <v>104</v>
      </c>
      <c r="H85" s="74"/>
      <c r="I85" s="78">
        <v>104</v>
      </c>
      <c r="J85" s="74"/>
      <c r="K85" s="78">
        <v>104</v>
      </c>
      <c r="M85" s="77"/>
    </row>
    <row r="86" spans="1:17" s="40" customFormat="1" x14ac:dyDescent="0.2">
      <c r="A86" s="124" t="s">
        <v>198</v>
      </c>
      <c r="B86" s="117"/>
      <c r="C86" s="78">
        <v>2043</v>
      </c>
      <c r="D86" s="78"/>
      <c r="E86" s="78">
        <f>SUM(E84:E85)</f>
        <v>2061</v>
      </c>
      <c r="F86" s="78"/>
      <c r="G86" s="78">
        <f>SUM(G84:G85)</f>
        <v>2052</v>
      </c>
      <c r="H86" s="74"/>
      <c r="I86" s="78">
        <f>SUM(I84:I85)</f>
        <v>2112</v>
      </c>
      <c r="J86" s="74"/>
      <c r="K86" s="78">
        <f>SUM(K84:K85)</f>
        <v>2112</v>
      </c>
      <c r="M86" s="77"/>
    </row>
    <row r="87" spans="1:17" s="37" customFormat="1" x14ac:dyDescent="0.2">
      <c r="A87" s="123"/>
      <c r="B87" s="644"/>
      <c r="C87" s="63"/>
      <c r="D87" s="63"/>
    </row>
    <row r="88" spans="1:17" s="48" customFormat="1" x14ac:dyDescent="0.2">
      <c r="A88" s="46"/>
      <c r="B88" s="47"/>
      <c r="M88" s="280"/>
      <c r="N88" s="280"/>
    </row>
    <row r="89" spans="1:17" s="48" customFormat="1" x14ac:dyDescent="0.2">
      <c r="A89" s="49" t="s">
        <v>200</v>
      </c>
      <c r="B89" s="50"/>
      <c r="C89" s="65"/>
      <c r="D89" s="463"/>
      <c r="E89" s="417"/>
      <c r="F89" s="463"/>
      <c r="G89" s="417"/>
      <c r="H89" s="463"/>
      <c r="I89" s="417"/>
      <c r="J89" s="463"/>
      <c r="K89" s="417"/>
      <c r="L89" s="463"/>
      <c r="M89" s="65"/>
      <c r="N89" s="463"/>
    </row>
    <row r="90" spans="1:17" ht="27.75" customHeight="1" x14ac:dyDescent="0.2">
      <c r="A90" s="1738" t="s">
        <v>524</v>
      </c>
      <c r="B90" s="1736"/>
      <c r="C90" s="1737"/>
      <c r="D90" s="1736"/>
      <c r="E90" s="1737"/>
      <c r="F90" s="1736"/>
      <c r="G90" s="1737"/>
      <c r="H90" s="1736"/>
      <c r="I90" s="1737"/>
      <c r="J90" s="1736"/>
      <c r="K90" s="1737"/>
      <c r="L90" s="1736"/>
      <c r="M90" s="1737"/>
      <c r="N90" s="1736"/>
      <c r="O90" s="54"/>
      <c r="P90" s="54"/>
      <c r="Q90" s="951"/>
    </row>
    <row r="91" spans="1:17" ht="27.75" customHeight="1" x14ac:dyDescent="0.2">
      <c r="A91" s="1738" t="s">
        <v>2372</v>
      </c>
      <c r="B91" s="1736"/>
      <c r="C91" s="1737"/>
      <c r="D91" s="1736"/>
      <c r="E91" s="1737"/>
      <c r="F91" s="1736"/>
      <c r="G91" s="1737"/>
      <c r="H91" s="1736"/>
      <c r="I91" s="1737"/>
      <c r="J91" s="1736"/>
      <c r="K91" s="1737"/>
      <c r="L91" s="1736"/>
      <c r="M91" s="1737"/>
      <c r="N91" s="1736"/>
      <c r="O91" s="54"/>
      <c r="P91" s="54"/>
    </row>
    <row r="92" spans="1:17" ht="27.75" customHeight="1" x14ac:dyDescent="0.2">
      <c r="A92" s="1735"/>
      <c r="B92" s="1736"/>
      <c r="C92" s="1737"/>
      <c r="D92" s="1736"/>
      <c r="E92" s="1737"/>
      <c r="F92" s="1736"/>
      <c r="G92" s="1737"/>
      <c r="H92" s="1736"/>
      <c r="I92" s="1737"/>
      <c r="J92" s="1736"/>
      <c r="K92" s="1737"/>
      <c r="L92" s="1736"/>
      <c r="M92" s="1737"/>
      <c r="N92" s="1736"/>
      <c r="O92" s="54"/>
      <c r="P92" s="54"/>
    </row>
    <row r="93" spans="1:17" ht="27.75" customHeight="1" x14ac:dyDescent="0.2">
      <c r="A93" s="1735"/>
      <c r="B93" s="1736"/>
      <c r="C93" s="1737"/>
      <c r="D93" s="1736"/>
      <c r="E93" s="1737"/>
      <c r="F93" s="1736"/>
      <c r="G93" s="1737"/>
      <c r="H93" s="1736"/>
      <c r="I93" s="1737"/>
      <c r="J93" s="1736"/>
      <c r="K93" s="1737"/>
      <c r="L93" s="1736"/>
      <c r="M93" s="1737"/>
      <c r="N93" s="1736"/>
      <c r="O93" s="54"/>
      <c r="P93" s="54"/>
    </row>
    <row r="94" spans="1:17" ht="27.75" customHeight="1" x14ac:dyDescent="0.2">
      <c r="A94" s="1735"/>
      <c r="B94" s="1736"/>
      <c r="C94" s="1737"/>
      <c r="D94" s="1736"/>
      <c r="E94" s="1737"/>
      <c r="F94" s="1736"/>
      <c r="G94" s="1737"/>
      <c r="H94" s="1736"/>
      <c r="I94" s="1737"/>
      <c r="J94" s="1736"/>
      <c r="K94" s="1737"/>
      <c r="L94" s="1736"/>
      <c r="M94" s="1737"/>
      <c r="N94" s="1736"/>
      <c r="O94" s="54"/>
      <c r="P94" s="54"/>
    </row>
    <row r="95" spans="1:17" ht="27.75" customHeight="1" x14ac:dyDescent="0.2">
      <c r="A95" s="1735"/>
      <c r="B95" s="1736"/>
      <c r="C95" s="1737"/>
      <c r="D95" s="1736"/>
      <c r="E95" s="1737"/>
      <c r="F95" s="1736"/>
      <c r="G95" s="1737"/>
      <c r="H95" s="1736"/>
      <c r="I95" s="1737"/>
      <c r="J95" s="1736"/>
      <c r="K95" s="1737"/>
      <c r="L95" s="1736"/>
      <c r="M95" s="1737"/>
      <c r="N95" s="1736"/>
      <c r="O95" s="54"/>
      <c r="P95" s="54"/>
    </row>
    <row r="96" spans="1:17" ht="27.75" customHeight="1" x14ac:dyDescent="0.2">
      <c r="A96" s="1735"/>
      <c r="B96" s="1736"/>
      <c r="C96" s="1737"/>
      <c r="D96" s="1736"/>
      <c r="E96" s="1737"/>
      <c r="F96" s="1736"/>
      <c r="G96" s="1737"/>
      <c r="H96" s="1736"/>
      <c r="I96" s="1737"/>
      <c r="J96" s="1736"/>
      <c r="K96" s="1737"/>
      <c r="L96" s="1736"/>
      <c r="M96" s="1737"/>
      <c r="N96" s="1736"/>
      <c r="O96" s="54"/>
      <c r="P96" s="54"/>
    </row>
    <row r="97" spans="1:17" ht="27.75" customHeight="1" x14ac:dyDescent="0.2">
      <c r="A97" s="1735"/>
      <c r="B97" s="1736"/>
      <c r="C97" s="1737"/>
      <c r="D97" s="1736"/>
      <c r="E97" s="1737"/>
      <c r="F97" s="1736"/>
      <c r="G97" s="1737"/>
      <c r="H97" s="1736"/>
      <c r="I97" s="1737"/>
      <c r="J97" s="1736"/>
      <c r="K97" s="1737"/>
      <c r="L97" s="1736"/>
      <c r="M97" s="1737"/>
      <c r="N97" s="1736"/>
      <c r="O97" s="54"/>
      <c r="P97" s="54"/>
    </row>
    <row r="98" spans="1:17" ht="27.75" customHeight="1" x14ac:dyDescent="0.2">
      <c r="A98" s="1735"/>
      <c r="B98" s="1736"/>
      <c r="C98" s="1737"/>
      <c r="D98" s="1736"/>
      <c r="E98" s="1737"/>
      <c r="F98" s="1736"/>
      <c r="G98" s="1737"/>
      <c r="H98" s="1736"/>
      <c r="I98" s="1737"/>
      <c r="J98" s="1736"/>
      <c r="K98" s="1737"/>
      <c r="L98" s="1736"/>
      <c r="M98" s="1737"/>
      <c r="N98" s="1736"/>
      <c r="O98" s="54"/>
      <c r="P98" s="54"/>
    </row>
    <row r="99" spans="1:17" x14ac:dyDescent="0.2">
      <c r="A99" s="55"/>
      <c r="B99" s="54"/>
      <c r="C99" s="56"/>
      <c r="D99" s="54"/>
      <c r="E99" s="56"/>
      <c r="F99" s="54"/>
      <c r="G99" s="56"/>
      <c r="H99" s="54"/>
      <c r="I99" s="56"/>
      <c r="J99" s="54"/>
      <c r="K99" s="56"/>
      <c r="L99" s="54"/>
      <c r="M99" s="56"/>
      <c r="N99" s="54"/>
      <c r="O99" s="54"/>
      <c r="P99" s="54"/>
    </row>
    <row r="100" spans="1:17" x14ac:dyDescent="0.2">
      <c r="A100" s="55"/>
      <c r="B100" s="54"/>
      <c r="C100" s="54"/>
      <c r="D100" s="54"/>
      <c r="E100" s="54"/>
      <c r="F100" s="54"/>
      <c r="G100" s="54"/>
      <c r="H100" s="54"/>
      <c r="I100" s="54"/>
      <c r="J100" s="54"/>
      <c r="K100" s="54"/>
      <c r="L100" s="54"/>
      <c r="M100" s="54"/>
      <c r="N100" s="54"/>
      <c r="O100" s="54"/>
      <c r="P100" s="54"/>
    </row>
    <row r="101" spans="1:17" x14ac:dyDescent="0.2">
      <c r="A101" s="55"/>
      <c r="B101" s="54"/>
      <c r="C101" s="56"/>
      <c r="D101" s="54"/>
      <c r="E101" s="56"/>
      <c r="F101" s="54"/>
      <c r="G101" s="56"/>
      <c r="H101" s="54"/>
      <c r="I101" s="56"/>
      <c r="J101" s="54"/>
      <c r="K101" s="56"/>
      <c r="L101" s="54"/>
      <c r="M101" s="56"/>
      <c r="N101" s="54"/>
      <c r="O101" s="54"/>
      <c r="P101" s="54"/>
    </row>
    <row r="102" spans="1:17" x14ac:dyDescent="0.2">
      <c r="A102" s="55"/>
      <c r="B102" s="54"/>
      <c r="C102" s="54"/>
      <c r="D102" s="54"/>
      <c r="E102" s="54"/>
      <c r="F102" s="54"/>
      <c r="G102" s="54"/>
      <c r="H102" s="54"/>
      <c r="I102" s="54"/>
      <c r="J102" s="54"/>
      <c r="K102" s="54"/>
      <c r="L102" s="54"/>
      <c r="M102" s="54"/>
      <c r="N102" s="54"/>
      <c r="O102" s="54"/>
      <c r="P102" s="54"/>
    </row>
    <row r="103" spans="1:17" x14ac:dyDescent="0.2">
      <c r="A103" s="55"/>
      <c r="B103" s="54"/>
      <c r="C103" s="56"/>
      <c r="D103" s="54"/>
      <c r="E103" s="56"/>
      <c r="F103" s="54"/>
      <c r="G103" s="56"/>
      <c r="H103" s="54"/>
      <c r="I103" s="56"/>
      <c r="J103" s="54"/>
      <c r="K103" s="56"/>
      <c r="L103" s="54"/>
      <c r="M103" s="56"/>
      <c r="N103" s="54"/>
      <c r="O103" s="54"/>
      <c r="P103" s="54"/>
    </row>
    <row r="104" spans="1:17" x14ac:dyDescent="0.2">
      <c r="A104" s="55"/>
      <c r="B104" s="54"/>
      <c r="C104" s="54"/>
      <c r="D104" s="54"/>
      <c r="E104" s="54"/>
      <c r="F104" s="54"/>
      <c r="G104" s="54"/>
      <c r="H104" s="54"/>
      <c r="I104" s="54"/>
      <c r="J104" s="54"/>
      <c r="K104" s="54"/>
      <c r="L104" s="54"/>
      <c r="M104" s="54"/>
      <c r="N104" s="54"/>
      <c r="O104" s="54"/>
      <c r="P104" s="54"/>
    </row>
    <row r="105" spans="1:17" x14ac:dyDescent="0.2">
      <c r="A105" s="55"/>
      <c r="B105" s="54"/>
      <c r="C105" s="54"/>
      <c r="D105" s="54"/>
      <c r="E105" s="54"/>
      <c r="F105" s="54"/>
      <c r="G105" s="54"/>
      <c r="H105" s="54"/>
      <c r="I105" s="54"/>
      <c r="J105" s="54"/>
      <c r="K105" s="54"/>
      <c r="L105" s="54"/>
      <c r="M105" s="54"/>
      <c r="N105" s="54"/>
      <c r="O105" s="54"/>
      <c r="P105" s="54"/>
    </row>
    <row r="106" spans="1:17" x14ac:dyDescent="0.2">
      <c r="A106" s="55"/>
      <c r="B106" s="54"/>
      <c r="C106" s="54"/>
      <c r="D106" s="54"/>
      <c r="E106" s="54"/>
      <c r="F106" s="54"/>
      <c r="G106" s="54"/>
      <c r="H106" s="54"/>
      <c r="I106" s="54"/>
      <c r="J106" s="54"/>
      <c r="K106" s="54"/>
      <c r="L106" s="54"/>
      <c r="M106" s="54"/>
      <c r="N106" s="54"/>
      <c r="O106" s="54"/>
      <c r="P106" s="54"/>
      <c r="Q106" s="57"/>
    </row>
    <row r="107" spans="1:17" x14ac:dyDescent="0.2">
      <c r="B107" s="25"/>
      <c r="C107" s="25"/>
      <c r="D107" s="25"/>
      <c r="E107" s="58"/>
      <c r="F107" s="58"/>
      <c r="G107" s="58"/>
      <c r="H107" s="58"/>
    </row>
    <row r="108" spans="1:17" x14ac:dyDescent="0.2">
      <c r="B108" s="25"/>
      <c r="C108" s="25"/>
      <c r="D108" s="25"/>
      <c r="E108" s="58"/>
      <c r="F108" s="58"/>
      <c r="G108" s="58"/>
      <c r="H108" s="58"/>
    </row>
    <row r="109" spans="1:17" x14ac:dyDescent="0.2">
      <c r="B109" s="25"/>
      <c r="C109" s="25"/>
      <c r="D109" s="25"/>
      <c r="E109" s="58"/>
      <c r="F109" s="58"/>
      <c r="G109" s="58"/>
      <c r="H109" s="58"/>
    </row>
    <row r="110" spans="1:17" x14ac:dyDescent="0.2">
      <c r="B110" s="25"/>
      <c r="C110" s="25"/>
      <c r="D110" s="25"/>
      <c r="E110" s="58"/>
      <c r="F110" s="58"/>
      <c r="G110" s="58"/>
      <c r="H110" s="58"/>
    </row>
    <row r="111" spans="1:17" x14ac:dyDescent="0.2">
      <c r="B111" s="25"/>
      <c r="C111" s="25"/>
      <c r="D111" s="25"/>
      <c r="E111" s="58"/>
      <c r="F111" s="58"/>
      <c r="G111" s="58"/>
      <c r="H111" s="58"/>
    </row>
    <row r="112" spans="1:17"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c r="C118" s="25"/>
      <c r="D118" s="25"/>
      <c r="E118" s="58"/>
      <c r="F118" s="58"/>
      <c r="G118" s="58"/>
      <c r="H118" s="58"/>
    </row>
    <row r="119" spans="2:8" x14ac:dyDescent="0.2">
      <c r="B119" s="25"/>
      <c r="C119" s="25"/>
      <c r="D119" s="25"/>
      <c r="E119" s="58"/>
      <c r="F119" s="58"/>
      <c r="G119" s="58"/>
      <c r="H119" s="58"/>
    </row>
    <row r="120" spans="2:8" x14ac:dyDescent="0.2">
      <c r="B120" s="25"/>
      <c r="C120" s="25"/>
      <c r="D120" s="25"/>
      <c r="E120" s="58"/>
      <c r="F120" s="58"/>
      <c r="G120" s="58"/>
      <c r="H120" s="58"/>
    </row>
    <row r="121" spans="2:8" x14ac:dyDescent="0.2">
      <c r="B121" s="25"/>
      <c r="C121" s="25"/>
      <c r="D121" s="25"/>
      <c r="E121" s="58"/>
      <c r="F121" s="58"/>
      <c r="G121" s="58"/>
      <c r="H121" s="58"/>
    </row>
    <row r="122" spans="2:8" x14ac:dyDescent="0.2">
      <c r="B122" s="25"/>
      <c r="C122" s="25"/>
      <c r="D122" s="25"/>
      <c r="E122" s="58"/>
      <c r="F122" s="58"/>
      <c r="G122" s="58"/>
      <c r="H122" s="58"/>
    </row>
    <row r="123" spans="2:8" x14ac:dyDescent="0.2">
      <c r="B123" s="25"/>
      <c r="C123" s="25"/>
      <c r="D123" s="25"/>
      <c r="E123" s="58"/>
      <c r="F123" s="58"/>
      <c r="G123" s="58"/>
      <c r="H123" s="58"/>
    </row>
    <row r="124" spans="2:8" x14ac:dyDescent="0.2">
      <c r="B124" s="25"/>
      <c r="C124" s="25"/>
      <c r="D124" s="25"/>
      <c r="E124" s="58"/>
      <c r="F124" s="58"/>
      <c r="G124" s="58"/>
      <c r="H124" s="58"/>
    </row>
    <row r="125" spans="2:8" x14ac:dyDescent="0.2">
      <c r="B125" s="25"/>
      <c r="C125" s="25"/>
      <c r="D125" s="25"/>
      <c r="E125" s="58"/>
      <c r="F125" s="58"/>
      <c r="G125" s="58"/>
      <c r="H125" s="58"/>
    </row>
    <row r="126" spans="2:8" x14ac:dyDescent="0.2">
      <c r="B126" s="25"/>
      <c r="C126" s="25"/>
      <c r="D126" s="25"/>
      <c r="E126" s="58"/>
      <c r="F126" s="58"/>
      <c r="G126" s="58"/>
      <c r="H126" s="58"/>
    </row>
    <row r="127" spans="2:8" x14ac:dyDescent="0.2">
      <c r="B127" s="25"/>
      <c r="C127" s="25"/>
      <c r="D127" s="25"/>
      <c r="E127" s="58"/>
      <c r="F127" s="58"/>
      <c r="G127" s="58"/>
      <c r="H127" s="58"/>
    </row>
    <row r="128" spans="2:8" x14ac:dyDescent="0.2">
      <c r="B128" s="25"/>
      <c r="C128" s="25"/>
      <c r="D128" s="25"/>
      <c r="E128" s="58"/>
      <c r="F128" s="58"/>
      <c r="G128" s="58"/>
      <c r="H128" s="58"/>
    </row>
    <row r="129" spans="2:8" x14ac:dyDescent="0.2">
      <c r="B129" s="25"/>
      <c r="C129" s="25"/>
      <c r="D129" s="25"/>
      <c r="E129" s="58"/>
      <c r="F129" s="58"/>
      <c r="G129" s="58"/>
      <c r="H129" s="58"/>
    </row>
    <row r="130" spans="2:8" x14ac:dyDescent="0.2">
      <c r="B130" s="25"/>
      <c r="C130" s="25"/>
      <c r="D130" s="25"/>
      <c r="E130" s="58"/>
      <c r="F130" s="58"/>
      <c r="G130" s="58"/>
      <c r="H130" s="58"/>
    </row>
    <row r="131" spans="2:8" x14ac:dyDescent="0.2">
      <c r="B131" s="25"/>
      <c r="C131" s="25"/>
      <c r="D131" s="25"/>
      <c r="E131" s="58"/>
      <c r="F131" s="58"/>
      <c r="G131" s="58"/>
      <c r="H131" s="58"/>
    </row>
    <row r="132" spans="2:8" x14ac:dyDescent="0.2">
      <c r="B132" s="25"/>
      <c r="C132" s="25"/>
      <c r="D132" s="25"/>
      <c r="E132" s="58"/>
      <c r="F132" s="58"/>
      <c r="G132" s="58"/>
      <c r="H132" s="58"/>
    </row>
    <row r="133" spans="2:8" x14ac:dyDescent="0.2">
      <c r="B133" s="25"/>
      <c r="C133" s="25"/>
      <c r="D133" s="25"/>
      <c r="E133" s="58"/>
      <c r="F133" s="58"/>
      <c r="G133" s="58"/>
      <c r="H133" s="58"/>
    </row>
    <row r="134" spans="2:8" x14ac:dyDescent="0.2">
      <c r="B134" s="25"/>
      <c r="C134" s="25"/>
      <c r="D134" s="25"/>
      <c r="E134" s="58"/>
      <c r="F134" s="58"/>
      <c r="G134" s="58"/>
      <c r="H134" s="58"/>
    </row>
    <row r="135" spans="2:8" x14ac:dyDescent="0.2">
      <c r="B135" s="25"/>
      <c r="C135" s="25"/>
      <c r="D135" s="25"/>
      <c r="E135" s="58"/>
      <c r="F135" s="58"/>
      <c r="G135" s="58"/>
      <c r="H135" s="58"/>
    </row>
    <row r="136" spans="2:8" x14ac:dyDescent="0.2">
      <c r="B136" s="25"/>
    </row>
    <row r="137" spans="2:8" x14ac:dyDescent="0.2">
      <c r="B137" s="25"/>
    </row>
    <row r="138" spans="2:8" x14ac:dyDescent="0.2">
      <c r="B138" s="25"/>
    </row>
    <row r="139" spans="2:8" x14ac:dyDescent="0.2">
      <c r="B139" s="25"/>
    </row>
    <row r="140" spans="2:8" x14ac:dyDescent="0.2">
      <c r="B140" s="25"/>
    </row>
    <row r="141" spans="2:8" x14ac:dyDescent="0.2">
      <c r="B141" s="25"/>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sheetData>
  <mergeCells count="10">
    <mergeCell ref="A96:N96"/>
    <mergeCell ref="A97:N97"/>
    <mergeCell ref="A98:N98"/>
    <mergeCell ref="K2:K3"/>
    <mergeCell ref="A90:N90"/>
    <mergeCell ref="A91:N91"/>
    <mergeCell ref="A92:N92"/>
    <mergeCell ref="A93:N93"/>
    <mergeCell ref="A94:N94"/>
    <mergeCell ref="A95:N95"/>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1">
    <pageSetUpPr fitToPage="1"/>
  </sheetPr>
  <dimension ref="A1:Q12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5.42578125" style="61" customWidth="1"/>
    <col min="4" max="4" width="3.140625" style="61" customWidth="1"/>
    <col min="5" max="5" width="12.7109375" style="59" customWidth="1"/>
    <col min="6" max="6" width="2.85546875" style="60" customWidth="1"/>
    <col min="7" max="7" width="13.7109375" style="59" hidden="1" customWidth="1"/>
    <col min="8" max="8" width="3.140625" style="60" hidden="1" customWidth="1"/>
    <col min="9" max="9" width="9.7109375" style="59" customWidth="1"/>
    <col min="10" max="10" width="3.140625" style="60" customWidth="1"/>
    <col min="11" max="11" width="13.855468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2303</v>
      </c>
      <c r="C3" s="10" t="s">
        <v>2304</v>
      </c>
      <c r="D3" s="6"/>
      <c r="E3" s="11"/>
      <c r="F3" s="9"/>
      <c r="G3" s="11"/>
      <c r="H3" s="6"/>
      <c r="I3" s="11"/>
      <c r="J3" s="6"/>
      <c r="K3" s="1734"/>
      <c r="L3" s="6"/>
      <c r="M3" s="11"/>
      <c r="N3" s="6"/>
    </row>
    <row r="4" spans="1:16" s="4" customFormat="1" ht="15.75" x14ac:dyDescent="0.25">
      <c r="A4" s="1" t="s">
        <v>180</v>
      </c>
      <c r="B4" s="10" t="s">
        <v>2373</v>
      </c>
      <c r="C4" s="10" t="s">
        <v>65</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c r="E10" s="87"/>
      <c r="I10" s="87"/>
      <c r="K10" s="87"/>
    </row>
    <row r="11" spans="1:16" s="37" customFormat="1" x14ac:dyDescent="0.2">
      <c r="A11" s="35" t="s">
        <v>2374</v>
      </c>
      <c r="B11" s="36"/>
      <c r="C11" s="87"/>
      <c r="D11" s="87"/>
      <c r="E11" s="87"/>
      <c r="I11" s="87"/>
      <c r="K11" s="87"/>
    </row>
    <row r="12" spans="1:16" s="40" customFormat="1" x14ac:dyDescent="0.2">
      <c r="A12" s="41" t="s">
        <v>2375</v>
      </c>
      <c r="B12" s="39"/>
      <c r="C12" s="63"/>
      <c r="D12" s="63"/>
      <c r="E12" s="63"/>
      <c r="I12" s="63"/>
      <c r="K12" s="63"/>
    </row>
    <row r="13" spans="1:16" s="40" customFormat="1" x14ac:dyDescent="0.2">
      <c r="A13" s="90" t="s">
        <v>2376</v>
      </c>
      <c r="B13" s="39"/>
      <c r="C13" s="850">
        <v>49.3</v>
      </c>
      <c r="D13" s="106"/>
      <c r="E13" s="850">
        <v>56.19</v>
      </c>
      <c r="G13" s="253">
        <v>10.34</v>
      </c>
      <c r="I13" s="850">
        <v>77.34</v>
      </c>
      <c r="K13" s="850">
        <v>10.34</v>
      </c>
      <c r="M13" s="254"/>
    </row>
    <row r="14" spans="1:16" s="40" customFormat="1" x14ac:dyDescent="0.2">
      <c r="A14" s="90" t="s">
        <v>2377</v>
      </c>
      <c r="B14" s="39"/>
      <c r="C14" s="104">
        <v>41484</v>
      </c>
      <c r="D14" s="106"/>
      <c r="E14" s="104">
        <v>44790</v>
      </c>
      <c r="G14" s="76">
        <v>38000</v>
      </c>
      <c r="I14" s="104">
        <v>42000</v>
      </c>
      <c r="K14" s="104">
        <v>42000</v>
      </c>
      <c r="M14" s="77"/>
    </row>
    <row r="15" spans="1:16" s="40" customFormat="1" x14ac:dyDescent="0.2">
      <c r="A15" s="90" t="s">
        <v>2378</v>
      </c>
      <c r="B15" s="39"/>
      <c r="C15" s="104">
        <v>286</v>
      </c>
      <c r="D15" s="106"/>
      <c r="E15" s="104">
        <v>239</v>
      </c>
      <c r="G15" s="76">
        <v>400</v>
      </c>
      <c r="I15" s="104">
        <v>300</v>
      </c>
      <c r="K15" s="104">
        <v>300</v>
      </c>
      <c r="M15" s="77"/>
    </row>
    <row r="16" spans="1:16" s="40" customFormat="1" x14ac:dyDescent="0.2">
      <c r="A16" s="90" t="s">
        <v>2379</v>
      </c>
      <c r="B16" s="39"/>
      <c r="C16" s="63"/>
      <c r="D16" s="63"/>
      <c r="E16" s="63"/>
      <c r="G16" s="63"/>
      <c r="I16" s="63"/>
      <c r="K16" s="63"/>
      <c r="M16" s="892"/>
    </row>
    <row r="17" spans="1:13" s="40" customFormat="1" x14ac:dyDescent="0.2">
      <c r="A17" s="131" t="s">
        <v>2380</v>
      </c>
      <c r="B17" s="39"/>
      <c r="C17" s="850">
        <v>2.86</v>
      </c>
      <c r="D17" s="106"/>
      <c r="E17" s="850">
        <v>2.82</v>
      </c>
      <c r="G17" s="253">
        <v>3</v>
      </c>
      <c r="I17" s="850">
        <v>2.84</v>
      </c>
      <c r="K17" s="850">
        <v>2.84</v>
      </c>
      <c r="M17" s="254"/>
    </row>
    <row r="18" spans="1:13" s="40" customFormat="1" x14ac:dyDescent="0.2">
      <c r="A18" s="131" t="s">
        <v>2381</v>
      </c>
      <c r="B18" s="39"/>
      <c r="C18" s="104">
        <v>1778</v>
      </c>
      <c r="D18" s="106"/>
      <c r="E18" s="104">
        <v>2008</v>
      </c>
      <c r="G18" s="76">
        <v>1800</v>
      </c>
      <c r="I18" s="104">
        <v>1800</v>
      </c>
      <c r="K18" s="104">
        <v>1800</v>
      </c>
      <c r="M18" s="77"/>
    </row>
    <row r="19" spans="1:13" s="40" customFormat="1" x14ac:dyDescent="0.2">
      <c r="A19" s="90" t="s">
        <v>2382</v>
      </c>
      <c r="B19" s="39"/>
      <c r="C19" s="63"/>
      <c r="D19" s="63"/>
      <c r="E19" s="63"/>
      <c r="G19" s="63"/>
      <c r="I19" s="63"/>
      <c r="K19" s="63"/>
    </row>
    <row r="20" spans="1:13" s="40" customFormat="1" x14ac:dyDescent="0.2">
      <c r="A20" s="131" t="s">
        <v>2383</v>
      </c>
      <c r="B20" s="39"/>
      <c r="C20" s="104">
        <v>310</v>
      </c>
      <c r="D20" s="106"/>
      <c r="E20" s="104">
        <v>705</v>
      </c>
      <c r="G20" s="76">
        <v>610</v>
      </c>
      <c r="I20" s="104">
        <v>560</v>
      </c>
      <c r="K20" s="104">
        <v>560</v>
      </c>
      <c r="M20" s="77"/>
    </row>
    <row r="21" spans="1:13" s="40" customFormat="1" x14ac:dyDescent="0.2">
      <c r="A21" s="131" t="s">
        <v>2384</v>
      </c>
      <c r="B21" s="39"/>
      <c r="C21" s="104">
        <v>207591</v>
      </c>
      <c r="D21" s="106"/>
      <c r="E21" s="104">
        <v>180837</v>
      </c>
      <c r="G21" s="76">
        <v>225000</v>
      </c>
      <c r="I21" s="104">
        <v>210000</v>
      </c>
      <c r="K21" s="104">
        <v>210000</v>
      </c>
      <c r="M21" s="77"/>
    </row>
    <row r="22" spans="1:13" s="40" customFormat="1" x14ac:dyDescent="0.2">
      <c r="A22" s="131" t="s">
        <v>2385</v>
      </c>
      <c r="B22" s="39"/>
      <c r="C22" s="1407" t="s">
        <v>2386</v>
      </c>
      <c r="D22" s="106"/>
      <c r="E22" s="1407" t="s">
        <v>2387</v>
      </c>
      <c r="G22" s="1077" t="s">
        <v>2388</v>
      </c>
      <c r="I22" s="1407" t="s">
        <v>2389</v>
      </c>
      <c r="K22" s="1407" t="s">
        <v>2389</v>
      </c>
      <c r="M22" s="1078"/>
    </row>
    <row r="23" spans="1:13" s="40" customFormat="1" x14ac:dyDescent="0.2">
      <c r="A23" s="41" t="s">
        <v>2390</v>
      </c>
      <c r="B23" s="39"/>
      <c r="C23" s="63"/>
      <c r="D23" s="63"/>
      <c r="E23" s="63"/>
      <c r="G23" s="63"/>
      <c r="I23" s="63"/>
      <c r="K23" s="63"/>
    </row>
    <row r="24" spans="1:13" s="40" customFormat="1" x14ac:dyDescent="0.2">
      <c r="A24" s="90" t="s">
        <v>2391</v>
      </c>
      <c r="B24" s="39"/>
      <c r="C24" s="104">
        <v>5908</v>
      </c>
      <c r="D24" s="106"/>
      <c r="E24" s="104">
        <v>5968</v>
      </c>
      <c r="G24" s="76">
        <v>6000</v>
      </c>
      <c r="I24" s="104">
        <v>6000</v>
      </c>
      <c r="K24" s="104">
        <v>6000</v>
      </c>
      <c r="M24" s="77"/>
    </row>
    <row r="25" spans="1:13" s="40" customFormat="1" x14ac:dyDescent="0.2">
      <c r="A25" s="90" t="s">
        <v>2392</v>
      </c>
      <c r="B25" s="39"/>
      <c r="C25" s="104">
        <v>5420</v>
      </c>
      <c r="D25" s="106"/>
      <c r="E25" s="104">
        <v>5505</v>
      </c>
      <c r="G25" s="76">
        <v>5500</v>
      </c>
      <c r="I25" s="104">
        <v>5500</v>
      </c>
      <c r="K25" s="104">
        <v>5500</v>
      </c>
      <c r="M25" s="77"/>
    </row>
    <row r="26" spans="1:13" s="40" customFormat="1" x14ac:dyDescent="0.2">
      <c r="A26" s="90" t="s">
        <v>2393</v>
      </c>
      <c r="B26" s="39"/>
      <c r="C26" s="1408">
        <v>0.71</v>
      </c>
      <c r="D26" s="106"/>
      <c r="E26" s="1408">
        <v>0.72</v>
      </c>
      <c r="G26" s="93">
        <v>0.73</v>
      </c>
      <c r="I26" s="1408">
        <v>0.72</v>
      </c>
      <c r="K26" s="1408">
        <v>0.72</v>
      </c>
      <c r="M26" s="84"/>
    </row>
    <row r="27" spans="1:13" s="40" customFormat="1" x14ac:dyDescent="0.2">
      <c r="A27" s="124" t="s">
        <v>2394</v>
      </c>
      <c r="B27" s="117"/>
      <c r="C27" s="1409">
        <v>0.77</v>
      </c>
      <c r="D27" s="443"/>
      <c r="E27" s="1409">
        <v>0.76</v>
      </c>
      <c r="G27" s="65">
        <v>0.76</v>
      </c>
      <c r="I27" s="1409">
        <v>0.78</v>
      </c>
      <c r="K27" s="1409">
        <v>0.77</v>
      </c>
      <c r="M27" s="64"/>
    </row>
    <row r="28" spans="1:13" s="40" customFormat="1" x14ac:dyDescent="0.2">
      <c r="A28" s="124" t="s">
        <v>2395</v>
      </c>
      <c r="B28" s="117"/>
      <c r="C28" s="695">
        <v>1.6</v>
      </c>
      <c r="D28" s="111"/>
      <c r="E28" s="695">
        <v>1.52</v>
      </c>
      <c r="G28" s="65">
        <v>1.47</v>
      </c>
      <c r="I28" s="695">
        <v>1.47</v>
      </c>
      <c r="K28" s="695">
        <v>1.47</v>
      </c>
      <c r="M28" s="64"/>
    </row>
    <row r="29" spans="1:13" s="40" customFormat="1" x14ac:dyDescent="0.2">
      <c r="A29" s="41" t="s">
        <v>2396</v>
      </c>
      <c r="B29" s="39"/>
      <c r="C29" s="76">
        <v>44</v>
      </c>
      <c r="D29" s="63"/>
      <c r="E29" s="76">
        <v>42</v>
      </c>
      <c r="G29" s="76">
        <v>42</v>
      </c>
      <c r="I29" s="76">
        <v>42</v>
      </c>
      <c r="K29" s="76">
        <v>42</v>
      </c>
      <c r="M29" s="77"/>
    </row>
    <row r="30" spans="1:13" s="40" customFormat="1" x14ac:dyDescent="0.2">
      <c r="A30" s="41"/>
      <c r="B30" s="39"/>
      <c r="C30" s="76"/>
      <c r="D30" s="63"/>
      <c r="E30" s="76"/>
      <c r="G30" s="76"/>
      <c r="I30" s="76"/>
      <c r="K30" s="76"/>
      <c r="M30" s="77"/>
    </row>
    <row r="31" spans="1:13" s="37" customFormat="1" x14ac:dyDescent="0.2">
      <c r="A31" s="35" t="s">
        <v>2397</v>
      </c>
      <c r="B31" s="36"/>
      <c r="C31" s="87"/>
      <c r="D31" s="87"/>
      <c r="E31" s="87"/>
      <c r="G31" s="87"/>
      <c r="I31" s="87"/>
      <c r="K31" s="87"/>
    </row>
    <row r="32" spans="1:13" s="40" customFormat="1" x14ac:dyDescent="0.2">
      <c r="A32" s="41" t="s">
        <v>2398</v>
      </c>
      <c r="B32" s="39"/>
      <c r="C32" s="63"/>
      <c r="D32" s="63"/>
      <c r="E32" s="63"/>
      <c r="G32" s="63"/>
      <c r="I32" s="63"/>
      <c r="K32" s="63"/>
    </row>
    <row r="33" spans="1:13" s="40" customFormat="1" x14ac:dyDescent="0.2">
      <c r="A33" s="90" t="s">
        <v>2399</v>
      </c>
      <c r="B33" s="39"/>
      <c r="C33" s="276">
        <v>146</v>
      </c>
      <c r="D33" s="106"/>
      <c r="E33" s="276">
        <v>113</v>
      </c>
      <c r="G33" s="97">
        <v>110</v>
      </c>
      <c r="I33" s="276">
        <v>110</v>
      </c>
      <c r="K33" s="276">
        <v>125</v>
      </c>
      <c r="M33" s="98"/>
    </row>
    <row r="34" spans="1:13" s="40" customFormat="1" x14ac:dyDescent="0.2">
      <c r="A34" s="90" t="s">
        <v>2400</v>
      </c>
      <c r="B34" s="39"/>
      <c r="C34" s="1408">
        <v>0.67</v>
      </c>
      <c r="D34" s="106"/>
      <c r="E34" s="1408">
        <v>0.59</v>
      </c>
      <c r="G34" s="93">
        <v>0.5</v>
      </c>
      <c r="I34" s="1408">
        <v>0.48</v>
      </c>
      <c r="K34" s="1408">
        <v>0.48</v>
      </c>
      <c r="M34" s="84"/>
    </row>
    <row r="35" spans="1:13" s="40" customFormat="1" x14ac:dyDescent="0.2">
      <c r="A35" s="90" t="s">
        <v>2401</v>
      </c>
      <c r="B35" s="39"/>
      <c r="C35" s="104">
        <v>575</v>
      </c>
      <c r="D35" s="106"/>
      <c r="E35" s="104">
        <v>644</v>
      </c>
      <c r="G35" s="76">
        <v>770</v>
      </c>
      <c r="I35" s="104">
        <v>687</v>
      </c>
      <c r="K35" s="104">
        <v>850</v>
      </c>
      <c r="M35" s="77"/>
    </row>
    <row r="36" spans="1:13" s="40" customFormat="1" x14ac:dyDescent="0.2">
      <c r="A36" s="90" t="s">
        <v>2402</v>
      </c>
      <c r="B36" s="39"/>
      <c r="C36" s="104">
        <v>660</v>
      </c>
      <c r="D36" s="106"/>
      <c r="E36" s="104">
        <v>843</v>
      </c>
      <c r="G36" s="76">
        <v>470</v>
      </c>
      <c r="I36" s="104">
        <v>492</v>
      </c>
      <c r="K36" s="104">
        <v>635</v>
      </c>
      <c r="M36" s="77"/>
    </row>
    <row r="37" spans="1:13" s="40" customFormat="1" x14ac:dyDescent="0.2">
      <c r="A37" s="90" t="s">
        <v>2403</v>
      </c>
      <c r="B37" s="39"/>
      <c r="C37" s="104">
        <v>1368</v>
      </c>
      <c r="D37" s="106"/>
      <c r="E37" s="104">
        <v>1460</v>
      </c>
      <c r="G37" s="76">
        <v>1390</v>
      </c>
      <c r="I37" s="104">
        <v>1341</v>
      </c>
      <c r="K37" s="104">
        <v>1440</v>
      </c>
      <c r="M37" s="77"/>
    </row>
    <row r="38" spans="1:13" s="40" customFormat="1" x14ac:dyDescent="0.2">
      <c r="A38" s="41" t="s">
        <v>2404</v>
      </c>
      <c r="B38" s="39"/>
      <c r="C38" s="63"/>
      <c r="D38" s="63"/>
      <c r="E38" s="63"/>
      <c r="G38" s="63"/>
      <c r="I38" s="63"/>
      <c r="K38" s="63"/>
    </row>
    <row r="39" spans="1:13" s="40" customFormat="1" x14ac:dyDescent="0.2">
      <c r="A39" s="90" t="s">
        <v>2405</v>
      </c>
      <c r="B39" s="39"/>
      <c r="C39" s="276">
        <v>523</v>
      </c>
      <c r="D39" s="106"/>
      <c r="E39" s="276">
        <v>1154</v>
      </c>
      <c r="G39" s="97">
        <v>900</v>
      </c>
      <c r="I39" s="276">
        <v>800</v>
      </c>
      <c r="K39" s="276">
        <v>800</v>
      </c>
      <c r="M39" s="98"/>
    </row>
    <row r="40" spans="1:13" s="40" customFormat="1" x14ac:dyDescent="0.2">
      <c r="A40" s="90" t="s">
        <v>2406</v>
      </c>
      <c r="B40" s="39"/>
      <c r="C40" s="855">
        <v>91</v>
      </c>
      <c r="D40" s="106"/>
      <c r="E40" s="855">
        <v>127</v>
      </c>
      <c r="G40" s="71">
        <v>105</v>
      </c>
      <c r="I40" s="855">
        <v>100</v>
      </c>
      <c r="K40" s="855">
        <v>100</v>
      </c>
      <c r="M40" s="70"/>
    </row>
    <row r="41" spans="1:13" s="40" customFormat="1" x14ac:dyDescent="0.2">
      <c r="A41" s="90" t="s">
        <v>2407</v>
      </c>
      <c r="B41" s="39"/>
      <c r="C41" s="855">
        <v>101</v>
      </c>
      <c r="D41" s="106"/>
      <c r="E41" s="855">
        <v>116</v>
      </c>
      <c r="G41" s="71"/>
      <c r="I41" s="855">
        <v>125</v>
      </c>
      <c r="K41" s="855">
        <v>125</v>
      </c>
      <c r="M41" s="70"/>
    </row>
    <row r="42" spans="1:13" s="40" customFormat="1" x14ac:dyDescent="0.2">
      <c r="A42" s="90" t="s">
        <v>2408</v>
      </c>
      <c r="B42" s="39"/>
      <c r="C42" s="855">
        <v>169</v>
      </c>
      <c r="D42" s="106"/>
      <c r="E42" s="855">
        <v>139</v>
      </c>
      <c r="G42" s="71"/>
      <c r="I42" s="855">
        <v>225</v>
      </c>
      <c r="K42" s="855">
        <v>225</v>
      </c>
      <c r="M42" s="70"/>
    </row>
    <row r="43" spans="1:13" s="40" customFormat="1" x14ac:dyDescent="0.2">
      <c r="A43" s="90" t="s">
        <v>2409</v>
      </c>
      <c r="B43" s="39"/>
      <c r="C43" s="1408">
        <v>0.6</v>
      </c>
      <c r="D43" s="106"/>
      <c r="E43" s="1408">
        <v>0.67</v>
      </c>
      <c r="G43" s="93">
        <v>0.68</v>
      </c>
      <c r="I43" s="1408">
        <v>0.7</v>
      </c>
      <c r="K43" s="1408">
        <v>0.73</v>
      </c>
      <c r="M43" s="84"/>
    </row>
    <row r="44" spans="1:13" s="40" customFormat="1" x14ac:dyDescent="0.2">
      <c r="A44" s="90" t="s">
        <v>2410</v>
      </c>
      <c r="B44" s="39"/>
      <c r="C44" s="415">
        <v>0.88500000000000001</v>
      </c>
      <c r="D44" s="106"/>
      <c r="E44" s="415">
        <v>0.89</v>
      </c>
      <c r="G44" s="100">
        <v>0.88400000000000001</v>
      </c>
      <c r="I44" s="415">
        <v>0.88700000000000001</v>
      </c>
      <c r="K44" s="415">
        <v>0.88500000000000001</v>
      </c>
      <c r="M44" s="101"/>
    </row>
    <row r="45" spans="1:13" s="40" customFormat="1" x14ac:dyDescent="0.2">
      <c r="A45" s="90" t="s">
        <v>2411</v>
      </c>
      <c r="B45" s="39"/>
      <c r="C45" s="415">
        <v>0.878</v>
      </c>
      <c r="D45" s="106"/>
      <c r="E45" s="415">
        <v>0.88</v>
      </c>
      <c r="G45" s="100">
        <v>0.877</v>
      </c>
      <c r="I45" s="415">
        <v>0.877</v>
      </c>
      <c r="K45" s="415">
        <v>0.875</v>
      </c>
      <c r="M45" s="101"/>
    </row>
    <row r="46" spans="1:13" s="40" customFormat="1" x14ac:dyDescent="0.2">
      <c r="A46" s="90"/>
      <c r="B46" s="39"/>
      <c r="C46" s="63"/>
      <c r="D46" s="63"/>
      <c r="E46" s="63"/>
      <c r="I46" s="63"/>
      <c r="K46" s="63"/>
    </row>
    <row r="47" spans="1:13" s="37" customFormat="1" x14ac:dyDescent="0.2">
      <c r="A47" s="35" t="s">
        <v>194</v>
      </c>
      <c r="B47" s="36"/>
      <c r="C47" s="87"/>
      <c r="D47" s="87"/>
      <c r="E47" s="87"/>
      <c r="I47" s="87"/>
      <c r="K47" s="87"/>
    </row>
    <row r="48" spans="1:13" s="37" customFormat="1" x14ac:dyDescent="0.2">
      <c r="A48" s="35" t="s">
        <v>195</v>
      </c>
      <c r="B48" s="36"/>
      <c r="C48" s="87"/>
      <c r="D48" s="87"/>
      <c r="E48" s="87"/>
      <c r="I48" s="87"/>
      <c r="K48" s="87"/>
    </row>
    <row r="49" spans="1:17" s="40" customFormat="1" x14ac:dyDescent="0.2">
      <c r="A49" s="41" t="s">
        <v>196</v>
      </c>
      <c r="B49" s="39"/>
      <c r="C49" s="63"/>
      <c r="D49" s="63"/>
      <c r="E49" s="63"/>
      <c r="I49" s="63"/>
      <c r="K49" s="63"/>
      <c r="M49" s="64"/>
    </row>
    <row r="50" spans="1:17" s="40" customFormat="1" x14ac:dyDescent="0.2">
      <c r="A50" s="90" t="s">
        <v>197</v>
      </c>
      <c r="B50" s="39"/>
      <c r="C50" s="76">
        <v>1278</v>
      </c>
      <c r="D50" s="63"/>
      <c r="E50" s="76">
        <v>1322</v>
      </c>
      <c r="G50" s="76">
        <v>1313</v>
      </c>
      <c r="I50" s="76">
        <v>1372</v>
      </c>
      <c r="K50" s="76">
        <v>1380</v>
      </c>
      <c r="M50" s="77"/>
    </row>
    <row r="51" spans="1:17" s="40" customFormat="1" x14ac:dyDescent="0.2">
      <c r="A51" s="90" t="s">
        <v>261</v>
      </c>
      <c r="B51" s="39"/>
      <c r="C51" s="76">
        <v>800</v>
      </c>
      <c r="D51" s="63"/>
      <c r="E51" s="76">
        <v>806</v>
      </c>
      <c r="G51" s="76">
        <v>799</v>
      </c>
      <c r="I51" s="76">
        <v>817</v>
      </c>
      <c r="K51" s="76">
        <v>820</v>
      </c>
      <c r="M51" s="77"/>
    </row>
    <row r="52" spans="1:17" s="40" customFormat="1" x14ac:dyDescent="0.2">
      <c r="A52" s="90" t="s">
        <v>262</v>
      </c>
      <c r="B52" s="39"/>
      <c r="C52" s="76">
        <v>713</v>
      </c>
      <c r="D52" s="63"/>
      <c r="E52" s="76">
        <v>738</v>
      </c>
      <c r="G52" s="76">
        <v>730</v>
      </c>
      <c r="I52" s="76">
        <v>672</v>
      </c>
      <c r="K52" s="76">
        <v>680</v>
      </c>
      <c r="M52" s="77"/>
    </row>
    <row r="53" spans="1:17" s="40" customFormat="1" x14ac:dyDescent="0.2">
      <c r="A53" s="90" t="s">
        <v>198</v>
      </c>
      <c r="B53" s="39"/>
      <c r="C53" s="76">
        <f>SUM(C50:C52)</f>
        <v>2791</v>
      </c>
      <c r="D53" s="76"/>
      <c r="E53" s="76">
        <f>SUM(E50:E52)</f>
        <v>2866</v>
      </c>
      <c r="G53" s="76">
        <f t="shared" ref="G53" si="0">SUM(G50:G52)</f>
        <v>2842</v>
      </c>
      <c r="I53" s="76">
        <f t="shared" ref="I53" si="1">SUM(I50:I52)</f>
        <v>2861</v>
      </c>
      <c r="K53" s="76">
        <f>SUM(K50:K52)</f>
        <v>2880</v>
      </c>
      <c r="M53" s="77"/>
    </row>
    <row r="54" spans="1:17" s="40" customFormat="1" x14ac:dyDescent="0.2">
      <c r="A54" s="41" t="s">
        <v>199</v>
      </c>
      <c r="B54" s="39"/>
      <c r="C54" s="63"/>
      <c r="D54" s="63"/>
      <c r="E54" s="63"/>
      <c r="I54" s="63"/>
      <c r="K54" s="63"/>
    </row>
    <row r="55" spans="1:17" s="40" customFormat="1" x14ac:dyDescent="0.2">
      <c r="A55" s="90" t="s">
        <v>2374</v>
      </c>
      <c r="B55" s="39"/>
      <c r="C55" s="76">
        <v>1366</v>
      </c>
      <c r="D55" s="63"/>
      <c r="E55" s="76">
        <v>1411</v>
      </c>
      <c r="G55" s="76">
        <v>1401</v>
      </c>
      <c r="I55" s="76">
        <v>1404</v>
      </c>
      <c r="K55" s="76">
        <v>1420</v>
      </c>
      <c r="M55" s="77"/>
    </row>
    <row r="56" spans="1:17" s="40" customFormat="1" x14ac:dyDescent="0.2">
      <c r="A56" s="90" t="s">
        <v>2412</v>
      </c>
      <c r="B56" s="39"/>
      <c r="C56" s="76">
        <v>93</v>
      </c>
      <c r="D56" s="63"/>
      <c r="E56" s="76">
        <v>92</v>
      </c>
      <c r="G56" s="76">
        <v>92</v>
      </c>
      <c r="I56" s="76">
        <v>87</v>
      </c>
      <c r="K56" s="76">
        <v>87</v>
      </c>
      <c r="M56" s="77"/>
    </row>
    <row r="57" spans="1:17" s="40" customFormat="1" x14ac:dyDescent="0.2">
      <c r="A57" s="90" t="s">
        <v>2413</v>
      </c>
      <c r="B57" s="39"/>
      <c r="C57" s="76">
        <v>1332</v>
      </c>
      <c r="D57" s="63"/>
      <c r="E57" s="76">
        <v>1363</v>
      </c>
      <c r="G57" s="76">
        <v>1349</v>
      </c>
      <c r="I57" s="76">
        <v>1370</v>
      </c>
      <c r="K57" s="76">
        <v>1373</v>
      </c>
      <c r="M57" s="77"/>
    </row>
    <row r="58" spans="1:17" s="40" customFormat="1" x14ac:dyDescent="0.2">
      <c r="A58" s="41" t="s">
        <v>198</v>
      </c>
      <c r="B58" s="39"/>
      <c r="C58" s="76">
        <f>SUM(C55:C57)</f>
        <v>2791</v>
      </c>
      <c r="D58" s="76"/>
      <c r="E58" s="76">
        <f>SUM(E55:E57)</f>
        <v>2866</v>
      </c>
      <c r="G58" s="76">
        <f t="shared" ref="G58" si="2">SUM(G55:G57)</f>
        <v>2842</v>
      </c>
      <c r="I58" s="76">
        <f t="shared" ref="I58" si="3">SUM(I55:I57)</f>
        <v>2861</v>
      </c>
      <c r="K58" s="76">
        <f>SUM(K55:K57)</f>
        <v>2880</v>
      </c>
      <c r="M58" s="77"/>
    </row>
    <row r="59" spans="1:17" s="37" customFormat="1" x14ac:dyDescent="0.2">
      <c r="A59" s="35"/>
      <c r="B59" s="36"/>
    </row>
    <row r="60" spans="1:17" s="48" customFormat="1" x14ac:dyDescent="0.2">
      <c r="A60" s="46"/>
      <c r="B60" s="47"/>
    </row>
    <row r="61" spans="1:17" s="48" customFormat="1" x14ac:dyDescent="0.2">
      <c r="A61" s="49" t="s">
        <v>200</v>
      </c>
      <c r="B61" s="50"/>
      <c r="C61" s="51"/>
      <c r="D61" s="52"/>
      <c r="E61" s="53"/>
      <c r="F61" s="52"/>
      <c r="G61" s="53"/>
      <c r="H61" s="52"/>
      <c r="I61" s="53"/>
      <c r="J61" s="52"/>
      <c r="K61" s="53"/>
      <c r="L61" s="52"/>
      <c r="M61" s="51"/>
      <c r="N61" s="52"/>
    </row>
    <row r="62" spans="1:17" ht="27.75" customHeight="1" x14ac:dyDescent="0.2">
      <c r="A62" s="1738" t="s">
        <v>218</v>
      </c>
      <c r="B62" s="1736"/>
      <c r="C62" s="1737"/>
      <c r="D62" s="1736"/>
      <c r="E62" s="1737"/>
      <c r="F62" s="1736"/>
      <c r="G62" s="1737"/>
      <c r="H62" s="1736"/>
      <c r="I62" s="1737"/>
      <c r="J62" s="1736"/>
      <c r="K62" s="1737"/>
      <c r="L62" s="1736"/>
      <c r="M62" s="1737"/>
      <c r="N62" s="1736"/>
      <c r="O62" s="54"/>
      <c r="P62" s="54"/>
      <c r="Q62" s="951"/>
    </row>
    <row r="63" spans="1:17" ht="15.75" customHeight="1" x14ac:dyDescent="0.2">
      <c r="A63" s="1738"/>
      <c r="B63" s="1736"/>
      <c r="C63" s="1737"/>
      <c r="D63" s="1736"/>
      <c r="E63" s="1737"/>
      <c r="F63" s="1736"/>
      <c r="G63" s="1737"/>
      <c r="H63" s="1736"/>
      <c r="I63" s="1737"/>
      <c r="J63" s="1736"/>
      <c r="K63" s="1737"/>
      <c r="L63" s="1736"/>
      <c r="M63" s="1737"/>
      <c r="N63" s="1736"/>
      <c r="O63" s="54"/>
      <c r="P63" s="54"/>
    </row>
    <row r="64" spans="1:17" x14ac:dyDescent="0.2">
      <c r="A64" s="1738"/>
      <c r="B64" s="1736"/>
      <c r="C64" s="1737"/>
      <c r="D64" s="1736"/>
      <c r="E64" s="1737"/>
      <c r="F64" s="1736"/>
      <c r="G64" s="1737"/>
      <c r="H64" s="1736"/>
      <c r="I64" s="1737"/>
      <c r="J64" s="1736"/>
      <c r="K64" s="1737"/>
      <c r="L64" s="1736"/>
      <c r="M64" s="1737"/>
      <c r="N64" s="1736"/>
      <c r="O64" s="54"/>
      <c r="P64" s="54"/>
    </row>
    <row r="65" spans="1:17" x14ac:dyDescent="0.2">
      <c r="A65" s="1735"/>
      <c r="B65" s="1736"/>
      <c r="C65" s="1737"/>
      <c r="D65" s="1736"/>
      <c r="E65" s="1737"/>
      <c r="F65" s="1736"/>
      <c r="G65" s="1737"/>
      <c r="H65" s="1736"/>
      <c r="I65" s="1737"/>
      <c r="J65" s="1736"/>
      <c r="K65" s="1737"/>
      <c r="L65" s="1736"/>
      <c r="M65" s="1737"/>
      <c r="N65" s="1736"/>
      <c r="O65" s="54"/>
      <c r="P65" s="54"/>
    </row>
    <row r="66" spans="1:17" x14ac:dyDescent="0.2">
      <c r="A66" s="1735"/>
      <c r="B66" s="1736"/>
      <c r="C66" s="1737"/>
      <c r="D66" s="1736"/>
      <c r="E66" s="1737"/>
      <c r="F66" s="1736"/>
      <c r="G66" s="1737"/>
      <c r="H66" s="1736"/>
      <c r="I66" s="1737"/>
      <c r="J66" s="1736"/>
      <c r="K66" s="1737"/>
      <c r="L66" s="1736"/>
      <c r="M66" s="1737"/>
      <c r="N66" s="1736"/>
      <c r="O66" s="54"/>
      <c r="P66" s="54"/>
    </row>
    <row r="67" spans="1:17" x14ac:dyDescent="0.2">
      <c r="A67" s="1735"/>
      <c r="B67" s="1736"/>
      <c r="C67" s="1737"/>
      <c r="D67" s="1736"/>
      <c r="E67" s="1737"/>
      <c r="F67" s="1736"/>
      <c r="G67" s="1737"/>
      <c r="H67" s="1736"/>
      <c r="I67" s="1737"/>
      <c r="J67" s="1736"/>
      <c r="K67" s="1737"/>
      <c r="L67" s="1736"/>
      <c r="M67" s="1737"/>
      <c r="N67" s="1736"/>
      <c r="O67" s="54"/>
      <c r="P67" s="54"/>
    </row>
    <row r="68" spans="1:17" x14ac:dyDescent="0.2">
      <c r="A68" s="1735"/>
      <c r="B68" s="1736"/>
      <c r="C68" s="1737"/>
      <c r="D68" s="1736"/>
      <c r="E68" s="1737"/>
      <c r="F68" s="1736"/>
      <c r="G68" s="1737"/>
      <c r="H68" s="1736"/>
      <c r="I68" s="1737"/>
      <c r="J68" s="1736"/>
      <c r="K68" s="1737"/>
      <c r="L68" s="1736"/>
      <c r="M68" s="1737"/>
      <c r="N68" s="1736"/>
      <c r="O68" s="54"/>
      <c r="P68" s="54"/>
    </row>
    <row r="69" spans="1:17" x14ac:dyDescent="0.2">
      <c r="A69" s="1735"/>
      <c r="B69" s="1736"/>
      <c r="C69" s="1737"/>
      <c r="D69" s="1736"/>
      <c r="E69" s="1737"/>
      <c r="F69" s="1736"/>
      <c r="G69" s="1737"/>
      <c r="H69" s="1736"/>
      <c r="I69" s="1737"/>
      <c r="J69" s="1736"/>
      <c r="K69" s="1737"/>
      <c r="L69" s="1736"/>
      <c r="M69" s="1737"/>
      <c r="N69" s="1736"/>
      <c r="O69" s="54"/>
      <c r="P69" s="54"/>
    </row>
    <row r="70" spans="1:17" ht="27.75" customHeight="1" x14ac:dyDescent="0.2">
      <c r="A70" s="1735"/>
      <c r="B70" s="1736"/>
      <c r="C70" s="1737"/>
      <c r="D70" s="1736"/>
      <c r="E70" s="1737"/>
      <c r="F70" s="1736"/>
      <c r="G70" s="1737"/>
      <c r="H70" s="1736"/>
      <c r="I70" s="1737"/>
      <c r="J70" s="1736"/>
      <c r="K70" s="1737"/>
      <c r="L70" s="1736"/>
      <c r="M70" s="1737"/>
      <c r="N70" s="1736"/>
      <c r="O70" s="54"/>
      <c r="P70" s="54"/>
    </row>
    <row r="71" spans="1:17" ht="27.75" customHeight="1" x14ac:dyDescent="0.2">
      <c r="A71" s="1735"/>
      <c r="B71" s="1736"/>
      <c r="C71" s="1737"/>
      <c r="D71" s="1736"/>
      <c r="E71" s="1737"/>
      <c r="F71" s="1736"/>
      <c r="G71" s="1737"/>
      <c r="H71" s="1736"/>
      <c r="I71" s="1737"/>
      <c r="J71" s="1736"/>
      <c r="K71" s="1737"/>
      <c r="L71" s="1736"/>
      <c r="M71" s="1737"/>
      <c r="N71" s="1736"/>
      <c r="O71" s="54"/>
      <c r="P71" s="54"/>
    </row>
    <row r="72" spans="1:17" x14ac:dyDescent="0.2">
      <c r="A72" s="55"/>
      <c r="B72" s="54"/>
      <c r="C72" s="56"/>
      <c r="D72" s="54"/>
      <c r="E72" s="56"/>
      <c r="F72" s="54"/>
      <c r="G72" s="56"/>
      <c r="H72" s="54"/>
      <c r="I72" s="56"/>
      <c r="J72" s="54"/>
      <c r="K72" s="56"/>
      <c r="L72" s="54"/>
      <c r="M72" s="56"/>
      <c r="N72" s="54"/>
      <c r="O72" s="54"/>
      <c r="P72" s="54"/>
    </row>
    <row r="73" spans="1:17" x14ac:dyDescent="0.2">
      <c r="A73" s="55"/>
      <c r="B73" s="54"/>
      <c r="C73" s="54"/>
      <c r="D73" s="54"/>
      <c r="E73" s="54"/>
      <c r="F73" s="54"/>
      <c r="G73" s="54"/>
      <c r="H73" s="54"/>
      <c r="I73" s="54"/>
      <c r="J73" s="54"/>
      <c r="K73" s="54"/>
      <c r="L73" s="54"/>
      <c r="M73" s="54"/>
      <c r="N73" s="54"/>
      <c r="O73" s="54"/>
      <c r="P73" s="54"/>
    </row>
    <row r="74" spans="1:17" x14ac:dyDescent="0.2">
      <c r="A74" s="55"/>
      <c r="B74" s="54"/>
      <c r="C74" s="56"/>
      <c r="D74" s="54"/>
      <c r="E74" s="56"/>
      <c r="F74" s="54"/>
      <c r="G74" s="56"/>
      <c r="H74" s="54"/>
      <c r="I74" s="56"/>
      <c r="J74" s="54"/>
      <c r="K74" s="56"/>
      <c r="L74" s="54"/>
      <c r="M74" s="56"/>
      <c r="N74" s="54"/>
      <c r="O74" s="54"/>
      <c r="P74" s="54"/>
    </row>
    <row r="75" spans="1:17" x14ac:dyDescent="0.2">
      <c r="A75" s="55"/>
      <c r="B75" s="54"/>
      <c r="C75" s="54"/>
      <c r="D75" s="54"/>
      <c r="E75" s="54"/>
      <c r="F75" s="54"/>
      <c r="G75" s="54"/>
      <c r="H75" s="54"/>
      <c r="I75" s="54"/>
      <c r="J75" s="54"/>
      <c r="K75" s="54"/>
      <c r="L75" s="54"/>
      <c r="M75" s="54"/>
      <c r="N75" s="54"/>
      <c r="O75" s="54"/>
      <c r="P75" s="54"/>
    </row>
    <row r="76" spans="1:17" x14ac:dyDescent="0.2">
      <c r="A76" s="55"/>
      <c r="B76" s="54"/>
      <c r="C76" s="56"/>
      <c r="D76" s="54"/>
      <c r="E76" s="56"/>
      <c r="F76" s="54"/>
      <c r="G76" s="56"/>
      <c r="H76" s="54"/>
      <c r="I76" s="56"/>
      <c r="J76" s="54"/>
      <c r="K76" s="56"/>
      <c r="L76" s="54"/>
      <c r="M76" s="56"/>
      <c r="N76" s="54"/>
      <c r="O76" s="54"/>
      <c r="P76" s="54"/>
    </row>
    <row r="77" spans="1:17" x14ac:dyDescent="0.2">
      <c r="A77" s="55"/>
      <c r="B77" s="54"/>
      <c r="C77" s="54"/>
      <c r="D77" s="54"/>
      <c r="E77" s="54"/>
      <c r="F77" s="54"/>
      <c r="G77" s="54"/>
      <c r="H77" s="54"/>
      <c r="I77" s="54"/>
      <c r="J77" s="54"/>
      <c r="K77" s="54"/>
      <c r="L77" s="54"/>
      <c r="M77" s="54"/>
      <c r="N77" s="54"/>
      <c r="O77" s="54"/>
      <c r="P77" s="54"/>
    </row>
    <row r="78" spans="1:17" x14ac:dyDescent="0.2">
      <c r="A78" s="55"/>
      <c r="B78" s="54"/>
      <c r="C78" s="54"/>
      <c r="D78" s="54"/>
      <c r="E78" s="54"/>
      <c r="F78" s="54"/>
      <c r="G78" s="54"/>
      <c r="H78" s="54"/>
      <c r="I78" s="54"/>
      <c r="J78" s="54"/>
      <c r="K78" s="54"/>
      <c r="L78" s="54"/>
      <c r="M78" s="54"/>
      <c r="N78" s="54"/>
      <c r="O78" s="54"/>
      <c r="P78" s="54"/>
    </row>
    <row r="79" spans="1:17" x14ac:dyDescent="0.2">
      <c r="A79" s="55"/>
      <c r="B79" s="54"/>
      <c r="C79" s="54"/>
      <c r="D79" s="54"/>
      <c r="E79" s="54"/>
      <c r="F79" s="54"/>
      <c r="G79" s="54"/>
      <c r="H79" s="54"/>
      <c r="I79" s="54"/>
      <c r="J79" s="54"/>
      <c r="K79" s="54"/>
      <c r="L79" s="54"/>
      <c r="M79" s="54"/>
      <c r="N79" s="54"/>
      <c r="O79" s="54"/>
      <c r="P79" s="54"/>
      <c r="Q79" s="57"/>
    </row>
    <row r="80" spans="1:17"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c r="C91" s="25"/>
      <c r="D91" s="25"/>
      <c r="E91" s="58"/>
      <c r="F91" s="58"/>
      <c r="G91" s="58"/>
      <c r="H91" s="58"/>
    </row>
    <row r="92" spans="2:8" x14ac:dyDescent="0.2">
      <c r="B92" s="25"/>
      <c r="C92" s="25"/>
      <c r="D92" s="25"/>
      <c r="E92" s="58"/>
      <c r="F92" s="58"/>
      <c r="G92" s="58"/>
      <c r="H92" s="58"/>
    </row>
    <row r="93" spans="2:8" x14ac:dyDescent="0.2">
      <c r="B93" s="25"/>
      <c r="C93" s="25"/>
      <c r="D93" s="25"/>
      <c r="E93" s="58"/>
      <c r="F93" s="58"/>
      <c r="G93" s="58"/>
      <c r="H93" s="58"/>
    </row>
    <row r="94" spans="2:8" x14ac:dyDescent="0.2">
      <c r="B94" s="25"/>
      <c r="C94" s="25"/>
      <c r="D94" s="25"/>
      <c r="E94" s="58"/>
      <c r="F94" s="58"/>
      <c r="G94" s="58"/>
      <c r="H94" s="58"/>
    </row>
    <row r="95" spans="2:8" x14ac:dyDescent="0.2">
      <c r="B95" s="25"/>
      <c r="C95" s="25"/>
      <c r="D95" s="25"/>
      <c r="E95" s="58"/>
      <c r="F95" s="58"/>
      <c r="G95" s="58"/>
      <c r="H95" s="58"/>
    </row>
    <row r="96" spans="2:8"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sheetData>
  <mergeCells count="11">
    <mergeCell ref="A68:N68"/>
    <mergeCell ref="A69:N69"/>
    <mergeCell ref="A70:N70"/>
    <mergeCell ref="A71:N71"/>
    <mergeCell ref="K2:K3"/>
    <mergeCell ref="A62:N62"/>
    <mergeCell ref="A63:N63"/>
    <mergeCell ref="A64:N64"/>
    <mergeCell ref="A65:N65"/>
    <mergeCell ref="A66:N66"/>
    <mergeCell ref="A67:N67"/>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3" fitToHeight="99" pageOrder="overThenDown"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5">
    <pageSetUpPr fitToPage="1"/>
  </sheetPr>
  <dimension ref="A1:P15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28515625" style="60" bestFit="1" customWidth="1"/>
    <col min="13" max="13" width="13.7109375" style="59" hidden="1" customWidth="1"/>
    <col min="14" max="14" width="6.5703125" style="60" hidden="1" customWidth="1"/>
    <col min="15" max="15" width="9.140625" style="59"/>
    <col min="16" max="16" width="9.140625" style="60"/>
    <col min="17"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267</v>
      </c>
      <c r="C3" s="10" t="s">
        <v>268</v>
      </c>
      <c r="D3" s="6"/>
      <c r="E3" s="11"/>
      <c r="F3" s="9"/>
      <c r="G3" s="11"/>
      <c r="H3" s="6"/>
      <c r="I3" s="11"/>
      <c r="J3" s="6"/>
      <c r="K3" s="1734"/>
      <c r="L3" s="6"/>
      <c r="M3" s="11"/>
      <c r="N3" s="6"/>
    </row>
    <row r="4" spans="1:16" s="4" customFormat="1" ht="15.75" x14ac:dyDescent="0.25">
      <c r="A4" s="1" t="s">
        <v>180</v>
      </c>
      <c r="B4" s="10" t="s">
        <v>269</v>
      </c>
      <c r="C4" s="10" t="s">
        <v>3</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270</v>
      </c>
      <c r="B11" s="36"/>
      <c r="M11" s="108"/>
    </row>
    <row r="12" spans="1:16" s="40" customFormat="1" x14ac:dyDescent="0.2">
      <c r="A12" s="41" t="s">
        <v>271</v>
      </c>
      <c r="B12" s="39"/>
      <c r="C12" s="63"/>
      <c r="E12" s="63"/>
      <c r="I12" s="63"/>
      <c r="K12" s="63"/>
      <c r="M12" s="64"/>
    </row>
    <row r="13" spans="1:16" s="40" customFormat="1" x14ac:dyDescent="0.2">
      <c r="A13" s="90" t="s">
        <v>272</v>
      </c>
      <c r="B13" s="39"/>
      <c r="C13" s="76">
        <v>5800</v>
      </c>
      <c r="E13" s="76">
        <v>5900</v>
      </c>
      <c r="G13" s="109">
        <v>6100</v>
      </c>
      <c r="I13" s="76">
        <v>5600</v>
      </c>
      <c r="K13" s="76">
        <v>5800</v>
      </c>
      <c r="M13" s="77"/>
    </row>
    <row r="14" spans="1:16" s="40" customFormat="1" x14ac:dyDescent="0.2">
      <c r="A14" s="90" t="s">
        <v>273</v>
      </c>
      <c r="B14" s="39"/>
      <c r="C14" s="76">
        <v>11500</v>
      </c>
      <c r="D14" s="77"/>
      <c r="E14" s="76">
        <v>12858</v>
      </c>
      <c r="F14" s="77"/>
      <c r="G14" s="109">
        <v>16000</v>
      </c>
      <c r="I14" s="76">
        <v>13500</v>
      </c>
      <c r="K14" s="76">
        <v>14000</v>
      </c>
      <c r="M14" s="77"/>
    </row>
    <row r="15" spans="1:16" s="40" customFormat="1" x14ac:dyDescent="0.2">
      <c r="A15" s="90" t="s">
        <v>274</v>
      </c>
      <c r="B15" s="39"/>
      <c r="C15" s="76">
        <v>1435</v>
      </c>
      <c r="D15" s="77"/>
      <c r="E15" s="76">
        <v>1452</v>
      </c>
      <c r="F15" s="77"/>
      <c r="G15" s="109">
        <v>1460</v>
      </c>
      <c r="I15" s="76">
        <v>1517</v>
      </c>
      <c r="K15" s="76">
        <v>1550</v>
      </c>
      <c r="M15" s="77"/>
    </row>
    <row r="16" spans="1:16" s="40" customFormat="1" x14ac:dyDescent="0.2">
      <c r="A16" s="90" t="s">
        <v>275</v>
      </c>
      <c r="B16" s="39"/>
      <c r="C16" s="76">
        <v>300</v>
      </c>
      <c r="D16" s="77"/>
      <c r="E16" s="76">
        <v>249</v>
      </c>
      <c r="F16" s="77"/>
      <c r="G16" s="109">
        <v>300</v>
      </c>
      <c r="I16" s="76">
        <v>250</v>
      </c>
      <c r="K16" s="76">
        <v>325</v>
      </c>
      <c r="M16" s="77"/>
    </row>
    <row r="17" spans="1:13" s="40" customFormat="1" x14ac:dyDescent="0.2">
      <c r="A17" s="90" t="s">
        <v>276</v>
      </c>
      <c r="B17" s="39"/>
      <c r="C17" s="76">
        <v>7932</v>
      </c>
      <c r="E17" s="76">
        <v>7658</v>
      </c>
      <c r="G17" s="76">
        <v>6000</v>
      </c>
      <c r="I17" s="76">
        <v>7000</v>
      </c>
      <c r="K17" s="76">
        <v>7000</v>
      </c>
      <c r="M17" s="77"/>
    </row>
    <row r="18" spans="1:13" s="40" customFormat="1" x14ac:dyDescent="0.2">
      <c r="A18" s="41" t="s">
        <v>277</v>
      </c>
      <c r="B18" s="39"/>
      <c r="C18" s="63"/>
      <c r="E18" s="63"/>
      <c r="G18" s="110"/>
      <c r="I18" s="63"/>
      <c r="K18" s="63"/>
      <c r="M18" s="64"/>
    </row>
    <row r="19" spans="1:13" s="40" customFormat="1" x14ac:dyDescent="0.2">
      <c r="A19" s="90" t="s">
        <v>278</v>
      </c>
      <c r="B19" s="39"/>
      <c r="C19" s="76">
        <v>410</v>
      </c>
      <c r="E19" s="76">
        <v>470</v>
      </c>
      <c r="G19" s="109">
        <v>470</v>
      </c>
      <c r="I19" s="76">
        <v>450</v>
      </c>
      <c r="J19" s="110"/>
      <c r="K19" s="76">
        <v>450</v>
      </c>
      <c r="M19" s="77"/>
    </row>
    <row r="20" spans="1:13" s="40" customFormat="1" x14ac:dyDescent="0.2">
      <c r="A20" s="90" t="s">
        <v>279</v>
      </c>
      <c r="B20" s="39"/>
      <c r="C20" s="76">
        <v>415</v>
      </c>
      <c r="E20" s="76">
        <v>474</v>
      </c>
      <c r="G20" s="109">
        <v>500</v>
      </c>
      <c r="I20" s="76">
        <v>450</v>
      </c>
      <c r="J20" s="110"/>
      <c r="K20" s="76">
        <v>450</v>
      </c>
      <c r="M20" s="77"/>
    </row>
    <row r="21" spans="1:13" s="40" customFormat="1" x14ac:dyDescent="0.2">
      <c r="A21" s="41" t="s">
        <v>280</v>
      </c>
      <c r="B21" s="39"/>
      <c r="C21" s="63"/>
      <c r="E21" s="63"/>
      <c r="G21" s="77"/>
      <c r="I21" s="63"/>
      <c r="K21" s="63"/>
      <c r="M21" s="77"/>
    </row>
    <row r="22" spans="1:13" s="40" customFormat="1" x14ac:dyDescent="0.2">
      <c r="A22" s="90" t="s">
        <v>276</v>
      </c>
      <c r="B22" s="39"/>
      <c r="C22" s="76">
        <v>25943</v>
      </c>
      <c r="D22" s="110"/>
      <c r="E22" s="76">
        <v>25577</v>
      </c>
      <c r="F22" s="110"/>
      <c r="G22" s="109">
        <v>26000</v>
      </c>
      <c r="I22" s="76">
        <v>28496</v>
      </c>
      <c r="J22" s="110"/>
      <c r="K22" s="76">
        <v>28000</v>
      </c>
      <c r="M22" s="77"/>
    </row>
    <row r="23" spans="1:13" s="40" customFormat="1" x14ac:dyDescent="0.2">
      <c r="A23" s="41" t="s">
        <v>281</v>
      </c>
      <c r="B23" s="39"/>
      <c r="C23" s="63"/>
      <c r="E23" s="63"/>
      <c r="I23" s="63"/>
      <c r="K23" s="63"/>
    </row>
    <row r="24" spans="1:13" s="40" customFormat="1" x14ac:dyDescent="0.2">
      <c r="A24" s="90" t="s">
        <v>272</v>
      </c>
      <c r="B24" s="39"/>
      <c r="C24" s="76">
        <v>103000</v>
      </c>
      <c r="E24" s="76">
        <v>104283</v>
      </c>
      <c r="F24" s="110"/>
      <c r="G24" s="109">
        <v>115000</v>
      </c>
      <c r="I24" s="76">
        <v>101000</v>
      </c>
      <c r="J24" s="110"/>
      <c r="K24" s="76">
        <v>100000</v>
      </c>
      <c r="M24" s="77"/>
    </row>
    <row r="25" spans="1:13" s="40" customFormat="1" x14ac:dyDescent="0.2">
      <c r="A25" s="90" t="s">
        <v>282</v>
      </c>
      <c r="B25" s="39"/>
      <c r="C25" s="76">
        <v>17652</v>
      </c>
      <c r="E25" s="76">
        <v>20283</v>
      </c>
      <c r="F25" s="110"/>
      <c r="G25" s="109">
        <v>21000</v>
      </c>
      <c r="I25" s="76">
        <v>20000</v>
      </c>
      <c r="J25" s="110"/>
      <c r="K25" s="76">
        <v>20000</v>
      </c>
      <c r="M25" s="77"/>
    </row>
    <row r="26" spans="1:13" s="40" customFormat="1" x14ac:dyDescent="0.2">
      <c r="A26" s="90" t="s">
        <v>276</v>
      </c>
      <c r="B26" s="39"/>
      <c r="C26" s="76">
        <v>26912</v>
      </c>
      <c r="D26" s="110"/>
      <c r="E26" s="76">
        <v>23594</v>
      </c>
      <c r="F26" s="110"/>
      <c r="G26" s="109">
        <v>26000</v>
      </c>
      <c r="I26" s="76">
        <v>23000</v>
      </c>
      <c r="J26" s="110"/>
      <c r="K26" s="76">
        <v>23000</v>
      </c>
      <c r="M26" s="77"/>
    </row>
    <row r="27" spans="1:13" s="40" customFormat="1" x14ac:dyDescent="0.2">
      <c r="A27" s="41" t="s">
        <v>283</v>
      </c>
      <c r="B27" s="39"/>
      <c r="C27" s="76">
        <v>3410</v>
      </c>
      <c r="E27" s="76">
        <v>3283</v>
      </c>
      <c r="F27" s="110"/>
      <c r="G27" s="109">
        <v>3348</v>
      </c>
      <c r="H27" s="110"/>
      <c r="I27" s="76">
        <v>3344</v>
      </c>
      <c r="J27" s="110"/>
      <c r="K27" s="76">
        <v>3400</v>
      </c>
      <c r="M27" s="77"/>
    </row>
    <row r="28" spans="1:13" s="40" customFormat="1" x14ac:dyDescent="0.2">
      <c r="A28" s="90" t="s">
        <v>284</v>
      </c>
      <c r="B28" s="39"/>
      <c r="C28" s="76">
        <v>55</v>
      </c>
      <c r="E28" s="76">
        <v>55</v>
      </c>
      <c r="F28" s="110"/>
      <c r="G28" s="109">
        <v>45</v>
      </c>
      <c r="H28" s="110"/>
      <c r="I28" s="76">
        <v>40</v>
      </c>
      <c r="J28" s="110"/>
      <c r="K28" s="76">
        <v>78</v>
      </c>
      <c r="M28" s="77"/>
    </row>
    <row r="29" spans="1:13" s="40" customFormat="1" x14ac:dyDescent="0.2">
      <c r="A29" s="90" t="s">
        <v>285</v>
      </c>
      <c r="B29" s="39"/>
      <c r="C29" s="76">
        <v>1455</v>
      </c>
      <c r="E29" s="76">
        <v>1399</v>
      </c>
      <c r="F29" s="110"/>
      <c r="G29" s="109">
        <v>1582</v>
      </c>
      <c r="H29" s="110"/>
      <c r="I29" s="76">
        <v>1408</v>
      </c>
      <c r="J29" s="110"/>
      <c r="K29" s="76">
        <v>1418</v>
      </c>
      <c r="M29" s="77"/>
    </row>
    <row r="30" spans="1:13" s="40" customFormat="1" x14ac:dyDescent="0.2">
      <c r="A30" s="41" t="s">
        <v>286</v>
      </c>
      <c r="B30" s="39"/>
      <c r="C30" s="63"/>
      <c r="E30" s="63"/>
      <c r="I30" s="63"/>
      <c r="K30" s="63"/>
      <c r="M30" s="64"/>
    </row>
    <row r="31" spans="1:13" s="40" customFormat="1" x14ac:dyDescent="0.2">
      <c r="A31" s="90" t="s">
        <v>287</v>
      </c>
      <c r="B31" s="39"/>
      <c r="C31" s="76">
        <v>6671</v>
      </c>
      <c r="D31" s="77"/>
      <c r="E31" s="76">
        <v>6931</v>
      </c>
      <c r="F31" s="77"/>
      <c r="G31" s="109">
        <v>7050</v>
      </c>
      <c r="I31" s="76">
        <v>7000</v>
      </c>
      <c r="J31" s="110"/>
      <c r="K31" s="76">
        <v>7000</v>
      </c>
      <c r="M31" s="77"/>
    </row>
    <row r="32" spans="1:13" s="40" customFormat="1" x14ac:dyDescent="0.2">
      <c r="A32" s="90" t="s">
        <v>288</v>
      </c>
      <c r="B32" s="39"/>
      <c r="C32" s="76">
        <v>6969</v>
      </c>
      <c r="D32" s="77"/>
      <c r="E32" s="76">
        <v>7036</v>
      </c>
      <c r="F32" s="77"/>
      <c r="G32" s="109">
        <v>6870</v>
      </c>
      <c r="I32" s="76">
        <v>7000</v>
      </c>
      <c r="J32" s="110"/>
      <c r="K32" s="76">
        <v>7000</v>
      </c>
      <c r="M32" s="77"/>
    </row>
    <row r="33" spans="1:13" s="40" customFormat="1" x14ac:dyDescent="0.2">
      <c r="A33" s="90" t="s">
        <v>289</v>
      </c>
      <c r="B33" s="39"/>
      <c r="C33" s="76">
        <v>2121</v>
      </c>
      <c r="D33" s="77"/>
      <c r="E33" s="76">
        <v>991</v>
      </c>
      <c r="F33" s="77" t="s">
        <v>290</v>
      </c>
      <c r="G33" s="109">
        <v>1425</v>
      </c>
      <c r="I33" s="76">
        <v>1425</v>
      </c>
      <c r="J33" s="77"/>
      <c r="K33" s="76">
        <v>1410</v>
      </c>
      <c r="M33" s="77"/>
    </row>
    <row r="34" spans="1:13" s="40" customFormat="1" x14ac:dyDescent="0.2">
      <c r="A34" s="90" t="s">
        <v>291</v>
      </c>
      <c r="B34" s="39"/>
      <c r="C34" s="76">
        <v>1966</v>
      </c>
      <c r="D34" s="70"/>
      <c r="E34" s="76">
        <v>789</v>
      </c>
      <c r="F34" s="77" t="s">
        <v>290</v>
      </c>
      <c r="G34" s="109">
        <v>1469</v>
      </c>
      <c r="I34" s="76">
        <v>1469</v>
      </c>
      <c r="J34" s="77"/>
      <c r="K34" s="76">
        <v>1435</v>
      </c>
      <c r="M34" s="77"/>
    </row>
    <row r="35" spans="1:13" s="40" customFormat="1" x14ac:dyDescent="0.2">
      <c r="A35" s="90" t="s">
        <v>292</v>
      </c>
      <c r="B35" s="39"/>
      <c r="C35" s="113">
        <v>8187659</v>
      </c>
      <c r="D35" s="114"/>
      <c r="E35" s="113">
        <v>5900000</v>
      </c>
      <c r="F35" s="114"/>
      <c r="G35" s="113">
        <v>4644630</v>
      </c>
      <c r="H35" s="114"/>
      <c r="I35" s="113">
        <v>4500000</v>
      </c>
      <c r="J35" s="115"/>
      <c r="K35" s="113">
        <v>4500000</v>
      </c>
      <c r="M35" s="116"/>
    </row>
    <row r="36" spans="1:13" s="37" customFormat="1" x14ac:dyDescent="0.2">
      <c r="A36" s="35" t="s">
        <v>293</v>
      </c>
      <c r="B36" s="36"/>
      <c r="C36" s="87"/>
      <c r="E36" s="87"/>
      <c r="I36" s="87"/>
      <c r="K36" s="87"/>
      <c r="M36" s="108"/>
    </row>
    <row r="37" spans="1:13" s="40" customFormat="1" x14ac:dyDescent="0.2">
      <c r="A37" s="41" t="s">
        <v>294</v>
      </c>
      <c r="B37" s="39"/>
      <c r="C37" s="63"/>
      <c r="E37" s="63"/>
      <c r="I37" s="63"/>
      <c r="K37" s="63"/>
      <c r="M37" s="64"/>
    </row>
    <row r="38" spans="1:13" s="40" customFormat="1" x14ac:dyDescent="0.2">
      <c r="A38" s="90" t="s">
        <v>295</v>
      </c>
      <c r="B38" s="39"/>
      <c r="C38" s="76">
        <v>2668</v>
      </c>
      <c r="E38" s="76">
        <v>2594</v>
      </c>
      <c r="G38" s="76">
        <v>3100</v>
      </c>
      <c r="I38" s="76">
        <v>2800</v>
      </c>
      <c r="K38" s="76">
        <v>3000</v>
      </c>
      <c r="M38" s="77"/>
    </row>
    <row r="39" spans="1:13" s="40" customFormat="1" x14ac:dyDescent="0.2">
      <c r="A39" s="90" t="s">
        <v>296</v>
      </c>
      <c r="B39" s="39"/>
      <c r="C39" s="76">
        <v>1050</v>
      </c>
      <c r="D39" s="70"/>
      <c r="E39" s="76">
        <v>1060</v>
      </c>
      <c r="F39" s="70"/>
      <c r="G39" s="109">
        <v>1070</v>
      </c>
      <c r="I39" s="76">
        <v>980</v>
      </c>
      <c r="K39" s="76">
        <v>990</v>
      </c>
      <c r="M39" s="77"/>
    </row>
    <row r="40" spans="1:13" s="40" customFormat="1" x14ac:dyDescent="0.2">
      <c r="A40" s="90" t="s">
        <v>297</v>
      </c>
      <c r="B40" s="39"/>
      <c r="C40" s="76">
        <v>98</v>
      </c>
      <c r="E40" s="76">
        <v>60</v>
      </c>
      <c r="G40" s="76">
        <v>120</v>
      </c>
      <c r="I40" s="76">
        <v>70</v>
      </c>
      <c r="K40" s="76">
        <v>80</v>
      </c>
      <c r="M40" s="77"/>
    </row>
    <row r="41" spans="1:13" s="40" customFormat="1" x14ac:dyDescent="0.2">
      <c r="A41" s="90" t="s">
        <v>298</v>
      </c>
      <c r="B41" s="39"/>
      <c r="C41" s="76">
        <v>69</v>
      </c>
      <c r="E41" s="76">
        <v>84</v>
      </c>
      <c r="G41" s="76">
        <v>110</v>
      </c>
      <c r="I41" s="76">
        <v>100</v>
      </c>
      <c r="K41" s="76">
        <v>110</v>
      </c>
      <c r="M41" s="77"/>
    </row>
    <row r="42" spans="1:13" s="40" customFormat="1" x14ac:dyDescent="0.2">
      <c r="A42" s="41" t="s">
        <v>299</v>
      </c>
      <c r="B42" s="39"/>
      <c r="C42" s="63"/>
      <c r="E42" s="63"/>
      <c r="I42" s="63"/>
      <c r="K42" s="63"/>
      <c r="M42" s="64"/>
    </row>
    <row r="43" spans="1:13" s="40" customFormat="1" x14ac:dyDescent="0.2">
      <c r="A43" s="90" t="s">
        <v>300</v>
      </c>
      <c r="B43" s="39"/>
      <c r="C43" s="76">
        <v>9926</v>
      </c>
      <c r="E43" s="76">
        <v>9485</v>
      </c>
      <c r="F43" s="110"/>
      <c r="G43" s="109">
        <v>9990</v>
      </c>
      <c r="H43" s="110"/>
      <c r="I43" s="76">
        <v>9265</v>
      </c>
      <c r="J43" s="110"/>
      <c r="K43" s="76">
        <v>9265</v>
      </c>
      <c r="M43" s="77"/>
    </row>
    <row r="44" spans="1:13" s="118" customFormat="1" x14ac:dyDescent="0.2">
      <c r="A44" s="94" t="s">
        <v>295</v>
      </c>
      <c r="B44" s="117"/>
      <c r="C44" s="112">
        <v>5024</v>
      </c>
      <c r="E44" s="112">
        <v>4710</v>
      </c>
      <c r="F44" s="119"/>
      <c r="G44" s="109">
        <v>5000</v>
      </c>
      <c r="H44" s="119"/>
      <c r="I44" s="112">
        <v>5000</v>
      </c>
      <c r="J44" s="119"/>
      <c r="K44" s="112">
        <v>5000</v>
      </c>
      <c r="M44" s="120"/>
    </row>
    <row r="45" spans="1:13" s="40" customFormat="1" x14ac:dyDescent="0.2">
      <c r="A45" s="90" t="s">
        <v>301</v>
      </c>
      <c r="B45" s="39"/>
      <c r="C45" s="76">
        <v>17427</v>
      </c>
      <c r="E45" s="76">
        <v>16832</v>
      </c>
      <c r="F45" s="110"/>
      <c r="G45" s="109">
        <v>17687</v>
      </c>
      <c r="H45" s="110"/>
      <c r="I45" s="76">
        <v>16647</v>
      </c>
      <c r="J45" s="110"/>
      <c r="K45" s="76">
        <v>16647</v>
      </c>
      <c r="M45" s="77"/>
    </row>
    <row r="46" spans="1:13" s="40" customFormat="1" x14ac:dyDescent="0.2">
      <c r="A46" s="41" t="s">
        <v>302</v>
      </c>
      <c r="B46" s="39"/>
      <c r="C46" s="63"/>
      <c r="E46" s="63"/>
      <c r="I46" s="63"/>
      <c r="K46" s="63"/>
      <c r="M46" s="77"/>
    </row>
    <row r="47" spans="1:13" s="40" customFormat="1" x14ac:dyDescent="0.2">
      <c r="A47" s="90" t="s">
        <v>303</v>
      </c>
      <c r="B47" s="39"/>
      <c r="C47" s="76">
        <v>1184</v>
      </c>
      <c r="E47" s="76">
        <v>1172</v>
      </c>
      <c r="G47" s="76">
        <v>1500</v>
      </c>
      <c r="I47" s="76">
        <v>1200</v>
      </c>
      <c r="J47" s="110"/>
      <c r="K47" s="76">
        <v>1260</v>
      </c>
      <c r="M47" s="77"/>
    </row>
    <row r="48" spans="1:13" s="40" customFormat="1" x14ac:dyDescent="0.2">
      <c r="A48" s="90" t="s">
        <v>304</v>
      </c>
      <c r="B48" s="39"/>
      <c r="C48" s="76">
        <v>1230</v>
      </c>
      <c r="E48" s="76">
        <v>1420</v>
      </c>
      <c r="G48" s="76">
        <v>1700</v>
      </c>
      <c r="I48" s="76">
        <v>1396</v>
      </c>
      <c r="J48" s="110"/>
      <c r="K48" s="76">
        <v>1465</v>
      </c>
      <c r="M48" s="77"/>
    </row>
    <row r="49" spans="1:13" s="40" customFormat="1" x14ac:dyDescent="0.2">
      <c r="A49" s="41" t="s">
        <v>305</v>
      </c>
      <c r="B49" s="39"/>
      <c r="C49" s="76">
        <v>1226</v>
      </c>
      <c r="E49" s="76">
        <v>1050</v>
      </c>
      <c r="G49" s="76">
        <v>1200</v>
      </c>
      <c r="I49" s="76">
        <v>1620</v>
      </c>
      <c r="J49" s="110"/>
      <c r="K49" s="76">
        <v>1750</v>
      </c>
      <c r="M49" s="77"/>
    </row>
    <row r="50" spans="1:13" s="40" customFormat="1" x14ac:dyDescent="0.2">
      <c r="A50" s="90" t="s">
        <v>306</v>
      </c>
      <c r="B50" s="39"/>
      <c r="C50" s="76">
        <v>698</v>
      </c>
      <c r="E50" s="76">
        <v>750</v>
      </c>
      <c r="G50" s="76">
        <v>875</v>
      </c>
      <c r="I50" s="76">
        <v>1151</v>
      </c>
      <c r="J50" s="110"/>
      <c r="K50" s="76">
        <v>1355</v>
      </c>
      <c r="M50" s="77"/>
    </row>
    <row r="51" spans="1:13" s="40" customFormat="1" x14ac:dyDescent="0.2">
      <c r="A51" s="90" t="s">
        <v>307</v>
      </c>
      <c r="B51" s="39"/>
      <c r="C51" s="76">
        <v>411</v>
      </c>
      <c r="E51" s="76">
        <v>300</v>
      </c>
      <c r="G51" s="76">
        <v>325</v>
      </c>
      <c r="I51" s="76">
        <v>469</v>
      </c>
      <c r="J51" s="110"/>
      <c r="K51" s="76">
        <v>475</v>
      </c>
      <c r="M51" s="77"/>
    </row>
    <row r="52" spans="1:13" s="37" customFormat="1" x14ac:dyDescent="0.2">
      <c r="A52" s="35" t="s">
        <v>308</v>
      </c>
      <c r="B52" s="36"/>
      <c r="C52" s="87"/>
      <c r="E52" s="87"/>
      <c r="I52" s="87"/>
      <c r="K52" s="87"/>
      <c r="M52" s="108"/>
    </row>
    <row r="53" spans="1:13" s="40" customFormat="1" x14ac:dyDescent="0.2">
      <c r="A53" s="41" t="s">
        <v>309</v>
      </c>
      <c r="B53" s="39"/>
      <c r="C53" s="76">
        <v>83518</v>
      </c>
      <c r="E53" s="76">
        <v>83296</v>
      </c>
      <c r="G53" s="76">
        <v>95000</v>
      </c>
      <c r="I53" s="76">
        <v>84000</v>
      </c>
      <c r="K53" s="76">
        <v>84000</v>
      </c>
      <c r="M53" s="77"/>
    </row>
    <row r="54" spans="1:13" s="40" customFormat="1" x14ac:dyDescent="0.2">
      <c r="A54" s="41" t="s">
        <v>282</v>
      </c>
      <c r="B54" s="39"/>
      <c r="C54" s="76">
        <v>15702</v>
      </c>
      <c r="D54" s="70"/>
      <c r="E54" s="76">
        <v>12825</v>
      </c>
      <c r="F54" s="70"/>
      <c r="G54" s="109">
        <v>14107</v>
      </c>
      <c r="I54" s="76">
        <v>14107</v>
      </c>
      <c r="K54" s="76">
        <v>15300</v>
      </c>
      <c r="M54" s="77"/>
    </row>
    <row r="55" spans="1:13" s="40" customFormat="1" x14ac:dyDescent="0.2">
      <c r="A55" s="41" t="s">
        <v>310</v>
      </c>
      <c r="B55" s="39"/>
      <c r="C55" s="76">
        <v>730</v>
      </c>
      <c r="D55" s="77"/>
      <c r="E55" s="76">
        <v>750</v>
      </c>
      <c r="F55" s="77"/>
      <c r="G55" s="109">
        <v>765</v>
      </c>
      <c r="H55" s="77"/>
      <c r="I55" s="76">
        <v>765</v>
      </c>
      <c r="J55" s="77"/>
      <c r="K55" s="76">
        <v>780</v>
      </c>
      <c r="M55" s="77"/>
    </row>
    <row r="56" spans="1:13" s="40" customFormat="1" hidden="1" x14ac:dyDescent="0.2">
      <c r="A56" s="41" t="s">
        <v>311</v>
      </c>
      <c r="B56" s="39"/>
      <c r="C56" s="71"/>
      <c r="D56" s="70"/>
      <c r="E56" s="71"/>
      <c r="F56" s="70"/>
      <c r="G56" s="109"/>
      <c r="I56" s="71"/>
      <c r="K56" s="71"/>
      <c r="M56" s="77"/>
    </row>
    <row r="57" spans="1:13" s="40" customFormat="1" x14ac:dyDescent="0.2">
      <c r="A57" s="41" t="s">
        <v>312</v>
      </c>
      <c r="B57" s="39"/>
      <c r="C57" s="76">
        <v>999</v>
      </c>
      <c r="D57" s="70"/>
      <c r="E57" s="76">
        <v>1050</v>
      </c>
      <c r="F57" s="70"/>
      <c r="G57" s="109">
        <v>1075</v>
      </c>
      <c r="I57" s="76">
        <v>1075</v>
      </c>
      <c r="K57" s="76">
        <v>1185</v>
      </c>
      <c r="M57" s="77"/>
    </row>
    <row r="58" spans="1:13" s="40" customFormat="1" x14ac:dyDescent="0.2">
      <c r="A58" s="41" t="s">
        <v>313</v>
      </c>
      <c r="B58" s="39"/>
      <c r="C58" s="71">
        <v>272</v>
      </c>
      <c r="D58" s="70"/>
      <c r="E58" s="71">
        <v>278</v>
      </c>
      <c r="F58" s="70"/>
      <c r="G58" s="122">
        <v>300</v>
      </c>
      <c r="I58" s="71">
        <v>300</v>
      </c>
      <c r="K58" s="71">
        <v>310</v>
      </c>
      <c r="M58" s="70"/>
    </row>
    <row r="59" spans="1:13" s="40" customFormat="1" x14ac:dyDescent="0.2">
      <c r="A59" s="41" t="s">
        <v>314</v>
      </c>
      <c r="B59" s="39"/>
      <c r="C59" s="76">
        <v>821</v>
      </c>
      <c r="D59" s="70"/>
      <c r="E59" s="76">
        <v>929</v>
      </c>
      <c r="F59" s="70"/>
      <c r="G59" s="109">
        <v>975</v>
      </c>
      <c r="H59" s="70"/>
      <c r="I59" s="76">
        <v>975</v>
      </c>
      <c r="J59" s="70"/>
      <c r="K59" s="76">
        <v>1000</v>
      </c>
      <c r="M59" s="77"/>
    </row>
    <row r="60" spans="1:13" s="40" customFormat="1" x14ac:dyDescent="0.2">
      <c r="A60" s="41" t="s">
        <v>276</v>
      </c>
      <c r="B60" s="39"/>
      <c r="C60" s="76">
        <v>13638</v>
      </c>
      <c r="D60" s="110"/>
      <c r="E60" s="76">
        <v>20606</v>
      </c>
      <c r="F60" s="110"/>
      <c r="G60" s="109">
        <v>20500</v>
      </c>
      <c r="I60" s="76">
        <v>14000</v>
      </c>
      <c r="K60" s="76">
        <v>20000</v>
      </c>
      <c r="M60" s="77"/>
    </row>
    <row r="61" spans="1:13" s="37" customFormat="1" x14ac:dyDescent="0.2">
      <c r="A61" s="123" t="s">
        <v>315</v>
      </c>
      <c r="B61" s="36"/>
      <c r="C61" s="87"/>
      <c r="E61" s="87"/>
      <c r="I61" s="87"/>
      <c r="K61" s="87"/>
      <c r="M61" s="108"/>
    </row>
    <row r="62" spans="1:13" s="37" customFormat="1" x14ac:dyDescent="0.2">
      <c r="A62" s="124" t="s">
        <v>316</v>
      </c>
      <c r="B62" s="36"/>
      <c r="C62" s="97">
        <v>5685641</v>
      </c>
      <c r="D62" s="125"/>
      <c r="E62" s="97">
        <v>6500000</v>
      </c>
      <c r="F62" s="125"/>
      <c r="G62" s="127">
        <v>6500000</v>
      </c>
      <c r="I62" s="97">
        <v>4500000</v>
      </c>
      <c r="K62" s="97">
        <v>4500000</v>
      </c>
      <c r="M62" s="128"/>
    </row>
    <row r="63" spans="1:13" s="37" customFormat="1" ht="12.75" customHeight="1" x14ac:dyDescent="0.2">
      <c r="A63" s="123" t="s">
        <v>317</v>
      </c>
      <c r="B63" s="39"/>
      <c r="C63" s="87"/>
      <c r="E63" s="87"/>
      <c r="I63" s="87"/>
      <c r="J63" s="125"/>
      <c r="K63" s="87"/>
      <c r="M63" s="129"/>
    </row>
    <row r="64" spans="1:13" s="40" customFormat="1" x14ac:dyDescent="0.2">
      <c r="A64" s="41" t="s">
        <v>318</v>
      </c>
      <c r="B64" s="39"/>
      <c r="C64" s="97">
        <v>3294505</v>
      </c>
      <c r="E64" s="97">
        <v>3380992</v>
      </c>
      <c r="G64" s="97">
        <v>2418280</v>
      </c>
      <c r="I64" s="97">
        <v>3337749</v>
      </c>
      <c r="J64" s="110"/>
      <c r="K64" s="97">
        <v>2857243</v>
      </c>
      <c r="M64" s="98"/>
    </row>
    <row r="65" spans="1:13" s="40" customFormat="1" x14ac:dyDescent="0.2">
      <c r="A65" s="41" t="s">
        <v>319</v>
      </c>
      <c r="B65" s="39"/>
      <c r="C65" s="63"/>
      <c r="E65" s="63"/>
      <c r="G65" s="97"/>
      <c r="I65" s="63"/>
      <c r="K65" s="63"/>
      <c r="M65" s="64"/>
    </row>
    <row r="66" spans="1:13" s="40" customFormat="1" x14ac:dyDescent="0.2">
      <c r="A66" s="94" t="s">
        <v>320</v>
      </c>
      <c r="B66" s="39"/>
      <c r="C66" s="93">
        <v>0.21</v>
      </c>
      <c r="D66" s="110"/>
      <c r="E66" s="93">
        <v>0.24</v>
      </c>
      <c r="F66" s="110"/>
      <c r="G66" s="130">
        <v>0.23</v>
      </c>
      <c r="H66" s="110"/>
      <c r="I66" s="93">
        <v>0.25</v>
      </c>
      <c r="J66" s="110"/>
      <c r="K66" s="93">
        <v>0.23</v>
      </c>
      <c r="M66" s="84"/>
    </row>
    <row r="67" spans="1:13" s="40" customFormat="1" x14ac:dyDescent="0.2">
      <c r="A67" s="94" t="s">
        <v>321</v>
      </c>
      <c r="B67" s="39"/>
      <c r="C67" s="93">
        <v>0.72</v>
      </c>
      <c r="D67" s="110"/>
      <c r="E67" s="93">
        <v>0.67</v>
      </c>
      <c r="F67" s="110"/>
      <c r="G67" s="130">
        <v>0.69</v>
      </c>
      <c r="H67" s="110"/>
      <c r="I67" s="93">
        <v>0.59</v>
      </c>
      <c r="J67" s="110"/>
      <c r="K67" s="93">
        <v>0.66</v>
      </c>
      <c r="M67" s="84"/>
    </row>
    <row r="68" spans="1:13" s="40" customFormat="1" x14ac:dyDescent="0.2">
      <c r="A68" s="94" t="s">
        <v>322</v>
      </c>
      <c r="B68" s="39"/>
      <c r="C68" s="93">
        <v>0.02</v>
      </c>
      <c r="D68" s="110"/>
      <c r="E68" s="93">
        <v>0.03</v>
      </c>
      <c r="F68" s="110"/>
      <c r="G68" s="130">
        <v>0.03</v>
      </c>
      <c r="H68" s="110"/>
      <c r="I68" s="93">
        <v>0.08</v>
      </c>
      <c r="J68" s="110"/>
      <c r="K68" s="93">
        <v>0.04</v>
      </c>
      <c r="M68" s="84"/>
    </row>
    <row r="69" spans="1:13" s="40" customFormat="1" x14ac:dyDescent="0.2">
      <c r="A69" s="94" t="s">
        <v>323</v>
      </c>
      <c r="B69" s="39"/>
      <c r="C69" s="93">
        <v>0.01</v>
      </c>
      <c r="D69" s="110"/>
      <c r="E69" s="93">
        <v>0.02</v>
      </c>
      <c r="F69" s="110"/>
      <c r="G69" s="130">
        <v>0.02</v>
      </c>
      <c r="H69" s="110"/>
      <c r="I69" s="93">
        <v>0.02</v>
      </c>
      <c r="J69" s="110"/>
      <c r="K69" s="93">
        <v>0.02</v>
      </c>
      <c r="M69" s="84"/>
    </row>
    <row r="70" spans="1:13" s="40" customFormat="1" x14ac:dyDescent="0.2">
      <c r="A70" s="94" t="s">
        <v>324</v>
      </c>
      <c r="B70" s="39"/>
      <c r="C70" s="93">
        <v>0.01</v>
      </c>
      <c r="D70" s="110"/>
      <c r="E70" s="93">
        <v>0.03</v>
      </c>
      <c r="F70" s="110"/>
      <c r="G70" s="130">
        <v>0.02</v>
      </c>
      <c r="H70" s="110"/>
      <c r="I70" s="93">
        <v>0.01</v>
      </c>
      <c r="J70" s="110"/>
      <c r="K70" s="93">
        <v>0.02</v>
      </c>
      <c r="M70" s="84"/>
    </row>
    <row r="71" spans="1:13" s="40" customFormat="1" x14ac:dyDescent="0.2">
      <c r="A71" s="94" t="s">
        <v>262</v>
      </c>
      <c r="B71" s="39"/>
      <c r="C71" s="93">
        <v>0.03</v>
      </c>
      <c r="D71" s="110"/>
      <c r="E71" s="93">
        <v>0.01</v>
      </c>
      <c r="F71" s="110"/>
      <c r="G71" s="130">
        <v>0.01</v>
      </c>
      <c r="H71" s="110"/>
      <c r="I71" s="93">
        <v>0.05</v>
      </c>
      <c r="J71" s="110"/>
      <c r="K71" s="93">
        <v>0.03</v>
      </c>
      <c r="M71" s="84"/>
    </row>
    <row r="72" spans="1:13" s="40" customFormat="1" x14ac:dyDescent="0.2">
      <c r="A72" s="41" t="s">
        <v>325</v>
      </c>
      <c r="B72" s="39"/>
      <c r="C72" s="76">
        <v>6030</v>
      </c>
      <c r="D72" s="110"/>
      <c r="E72" s="76">
        <v>5639</v>
      </c>
      <c r="G72" s="76">
        <v>5700</v>
      </c>
      <c r="I72" s="76">
        <v>5835</v>
      </c>
      <c r="J72" s="110"/>
      <c r="K72" s="76">
        <v>4306</v>
      </c>
      <c r="M72" s="77"/>
    </row>
    <row r="73" spans="1:13" s="40" customFormat="1" x14ac:dyDescent="0.2">
      <c r="A73" s="41" t="s">
        <v>326</v>
      </c>
      <c r="B73" s="39"/>
      <c r="C73" s="76">
        <v>6587</v>
      </c>
      <c r="D73" s="110"/>
      <c r="E73" s="76">
        <v>5373</v>
      </c>
      <c r="G73" s="76">
        <v>5940</v>
      </c>
      <c r="I73" s="76">
        <v>5980</v>
      </c>
      <c r="J73" s="110"/>
      <c r="K73" s="76">
        <v>4312</v>
      </c>
      <c r="M73" s="77"/>
    </row>
    <row r="74" spans="1:13" s="37" customFormat="1" x14ac:dyDescent="0.2">
      <c r="A74" s="35" t="s">
        <v>327</v>
      </c>
      <c r="B74" s="36"/>
      <c r="C74" s="87"/>
      <c r="E74" s="87"/>
      <c r="I74" s="87"/>
      <c r="K74" s="87"/>
      <c r="M74" s="108"/>
    </row>
    <row r="75" spans="1:13" s="40" customFormat="1" x14ac:dyDescent="0.2">
      <c r="A75" s="41" t="s">
        <v>328</v>
      </c>
      <c r="B75" s="39"/>
      <c r="C75" s="63"/>
      <c r="E75" s="63"/>
      <c r="I75" s="63"/>
      <c r="K75" s="63"/>
      <c r="M75" s="64"/>
    </row>
    <row r="76" spans="1:13" s="40" customFormat="1" x14ac:dyDescent="0.2">
      <c r="A76" s="90" t="s">
        <v>329</v>
      </c>
      <c r="B76" s="39"/>
      <c r="C76" s="76">
        <v>73</v>
      </c>
      <c r="D76" s="77"/>
      <c r="E76" s="76">
        <v>67</v>
      </c>
      <c r="F76" s="77"/>
      <c r="G76" s="109">
        <v>68</v>
      </c>
      <c r="I76" s="76">
        <v>68</v>
      </c>
      <c r="K76" s="76">
        <v>64</v>
      </c>
      <c r="M76" s="77"/>
    </row>
    <row r="77" spans="1:13" s="40" customFormat="1" x14ac:dyDescent="0.2">
      <c r="A77" s="131" t="s">
        <v>275</v>
      </c>
      <c r="B77" s="39"/>
      <c r="C77" s="71">
        <v>40</v>
      </c>
      <c r="D77" s="70"/>
      <c r="E77" s="71">
        <v>40</v>
      </c>
      <c r="F77" s="70"/>
      <c r="G77" s="122">
        <v>39</v>
      </c>
      <c r="H77" s="70"/>
      <c r="I77" s="71">
        <v>39</v>
      </c>
      <c r="J77" s="70"/>
      <c r="K77" s="71">
        <v>35</v>
      </c>
      <c r="M77" s="70"/>
    </row>
    <row r="78" spans="1:13" s="40" customFormat="1" x14ac:dyDescent="0.2">
      <c r="A78" s="90" t="s">
        <v>330</v>
      </c>
      <c r="B78" s="39"/>
      <c r="C78" s="71">
        <v>33</v>
      </c>
      <c r="D78" s="70"/>
      <c r="E78" s="71">
        <v>33</v>
      </c>
      <c r="F78" s="70"/>
      <c r="G78" s="122">
        <v>31</v>
      </c>
      <c r="H78" s="70"/>
      <c r="I78" s="71">
        <v>31</v>
      </c>
      <c r="J78" s="70"/>
      <c r="K78" s="71">
        <v>31</v>
      </c>
      <c r="M78" s="70"/>
    </row>
    <row r="79" spans="1:13" s="40" customFormat="1" x14ac:dyDescent="0.2">
      <c r="A79" s="131" t="s">
        <v>331</v>
      </c>
      <c r="B79" s="39"/>
      <c r="C79" s="71">
        <v>27</v>
      </c>
      <c r="D79" s="70"/>
      <c r="E79" s="71">
        <v>26</v>
      </c>
      <c r="F79" s="70"/>
      <c r="G79" s="122">
        <v>24</v>
      </c>
      <c r="H79" s="70"/>
      <c r="I79" s="71">
        <v>24</v>
      </c>
      <c r="J79" s="70"/>
      <c r="K79" s="71">
        <v>24</v>
      </c>
      <c r="M79" s="70"/>
    </row>
    <row r="80" spans="1:13" s="40" customFormat="1" x14ac:dyDescent="0.2">
      <c r="A80" s="131"/>
      <c r="B80" s="39"/>
      <c r="C80" s="63"/>
      <c r="E80" s="63"/>
      <c r="I80" s="63"/>
      <c r="K80" s="63"/>
      <c r="M80" s="77"/>
    </row>
    <row r="81" spans="1:15" s="37" customFormat="1" x14ac:dyDescent="0.2">
      <c r="A81" s="35" t="s">
        <v>194</v>
      </c>
      <c r="B81" s="36"/>
      <c r="C81" s="87"/>
      <c r="E81" s="87"/>
      <c r="I81" s="87"/>
      <c r="K81" s="87"/>
      <c r="M81" s="108"/>
    </row>
    <row r="82" spans="1:15" s="40" customFormat="1" x14ac:dyDescent="0.2">
      <c r="A82" s="38" t="s">
        <v>254</v>
      </c>
      <c r="B82" s="39"/>
      <c r="C82" s="63"/>
      <c r="E82" s="63"/>
      <c r="I82" s="63"/>
      <c r="K82" s="63"/>
      <c r="M82" s="64"/>
    </row>
    <row r="83" spans="1:15" s="40" customFormat="1" x14ac:dyDescent="0.2">
      <c r="A83" s="41" t="s">
        <v>332</v>
      </c>
      <c r="B83" s="39"/>
      <c r="C83" s="76">
        <v>51</v>
      </c>
      <c r="E83" s="76">
        <v>57</v>
      </c>
      <c r="F83" s="110"/>
      <c r="G83" s="132"/>
      <c r="I83" s="76">
        <v>55</v>
      </c>
      <c r="K83" s="76"/>
      <c r="M83" s="77"/>
      <c r="O83" s="76"/>
    </row>
    <row r="84" spans="1:15" s="40" customFormat="1" x14ac:dyDescent="0.2">
      <c r="A84" s="41" t="s">
        <v>256</v>
      </c>
      <c r="B84" s="39"/>
      <c r="C84" s="100">
        <v>0.112</v>
      </c>
      <c r="E84" s="100">
        <v>0.12418300653594772</v>
      </c>
      <c r="F84" s="133"/>
      <c r="G84" s="134"/>
      <c r="I84" s="100">
        <f>I83/I94</f>
        <v>0.12141280353200883</v>
      </c>
      <c r="K84" s="100"/>
      <c r="M84" s="101"/>
    </row>
    <row r="85" spans="1:15" s="40" customFormat="1" x14ac:dyDescent="0.2">
      <c r="A85" s="41" t="s">
        <v>257</v>
      </c>
      <c r="B85" s="39"/>
      <c r="C85" s="76">
        <v>98</v>
      </c>
      <c r="E85" s="76">
        <v>90</v>
      </c>
      <c r="F85" s="110"/>
      <c r="G85" s="132"/>
      <c r="I85" s="76">
        <v>90</v>
      </c>
      <c r="K85" s="76"/>
      <c r="M85" s="77"/>
    </row>
    <row r="86" spans="1:15" s="40" customFormat="1" x14ac:dyDescent="0.2">
      <c r="A86" s="41" t="s">
        <v>258</v>
      </c>
      <c r="B86" s="39"/>
      <c r="C86" s="100">
        <v>0.215</v>
      </c>
      <c r="E86" s="100">
        <v>0.19607843137254902</v>
      </c>
      <c r="F86" s="133"/>
      <c r="G86" s="134"/>
      <c r="I86" s="100">
        <f>I85/I94</f>
        <v>0.19867549668874171</v>
      </c>
      <c r="K86" s="100"/>
      <c r="M86" s="101"/>
    </row>
    <row r="87" spans="1:15" s="40" customFormat="1" x14ac:dyDescent="0.2">
      <c r="A87" s="41" t="s">
        <v>259</v>
      </c>
      <c r="B87" s="39"/>
      <c r="C87" s="76">
        <v>149</v>
      </c>
      <c r="E87" s="76">
        <v>147</v>
      </c>
      <c r="F87" s="110"/>
      <c r="G87" s="132"/>
      <c r="I87" s="76">
        <v>145</v>
      </c>
      <c r="K87" s="76"/>
      <c r="M87" s="77"/>
    </row>
    <row r="88" spans="1:15" s="40" customFormat="1" x14ac:dyDescent="0.2">
      <c r="A88" s="41" t="s">
        <v>260</v>
      </c>
      <c r="B88" s="39"/>
      <c r="C88" s="100">
        <v>0.32700000000000001</v>
      </c>
      <c r="E88" s="100">
        <v>0.3202614379084967</v>
      </c>
      <c r="F88" s="133"/>
      <c r="G88" s="134"/>
      <c r="I88" s="100">
        <f>I87/I94</f>
        <v>0.32008830022075058</v>
      </c>
      <c r="K88" s="100"/>
      <c r="M88" s="101"/>
    </row>
    <row r="89" spans="1:15" s="40" customFormat="1" x14ac:dyDescent="0.2">
      <c r="A89" s="90"/>
      <c r="B89" s="39"/>
      <c r="C89" s="63"/>
      <c r="E89" s="63"/>
      <c r="I89" s="63"/>
      <c r="K89" s="63"/>
      <c r="M89" s="135"/>
    </row>
    <row r="90" spans="1:15" s="37" customFormat="1" x14ac:dyDescent="0.2">
      <c r="A90" s="35" t="s">
        <v>195</v>
      </c>
      <c r="B90" s="36"/>
      <c r="C90" s="87"/>
      <c r="E90" s="87"/>
      <c r="I90" s="87"/>
      <c r="K90" s="87"/>
      <c r="M90" s="108"/>
    </row>
    <row r="91" spans="1:15" s="40" customFormat="1" x14ac:dyDescent="0.2">
      <c r="A91" s="38" t="s">
        <v>196</v>
      </c>
      <c r="B91" s="39"/>
      <c r="C91" s="63"/>
      <c r="E91" s="63"/>
      <c r="I91" s="63"/>
      <c r="K91" s="63"/>
      <c r="M91" s="64"/>
    </row>
    <row r="92" spans="1:15" s="40" customFormat="1" x14ac:dyDescent="0.2">
      <c r="A92" s="41" t="s">
        <v>261</v>
      </c>
      <c r="B92" s="39"/>
      <c r="C92" s="71">
        <v>2</v>
      </c>
      <c r="D92" s="70"/>
      <c r="E92" s="71">
        <v>2</v>
      </c>
      <c r="F92" s="70"/>
      <c r="G92" s="71">
        <v>5</v>
      </c>
      <c r="H92" s="70"/>
      <c r="I92" s="71">
        <v>1</v>
      </c>
      <c r="J92" s="70"/>
      <c r="K92" s="71">
        <v>5</v>
      </c>
      <c r="M92" s="70"/>
    </row>
    <row r="93" spans="1:15" s="40" customFormat="1" x14ac:dyDescent="0.2">
      <c r="A93" s="41" t="s">
        <v>333</v>
      </c>
      <c r="B93" s="39"/>
      <c r="C93" s="71">
        <v>453</v>
      </c>
      <c r="D93" s="70"/>
      <c r="E93" s="71">
        <v>457</v>
      </c>
      <c r="F93" s="70"/>
      <c r="G93" s="71">
        <v>510</v>
      </c>
      <c r="H93" s="70"/>
      <c r="I93" s="71">
        <v>452</v>
      </c>
      <c r="J93" s="70"/>
      <c r="K93" s="71">
        <v>510</v>
      </c>
      <c r="M93" s="70"/>
    </row>
    <row r="94" spans="1:15" s="40" customFormat="1" x14ac:dyDescent="0.2">
      <c r="A94" s="41" t="s">
        <v>198</v>
      </c>
      <c r="B94" s="39"/>
      <c r="C94" s="71">
        <v>455</v>
      </c>
      <c r="D94" s="70"/>
      <c r="E94" s="71">
        <f>SUM(E92:E93)</f>
        <v>459</v>
      </c>
      <c r="F94" s="70"/>
      <c r="G94" s="71">
        <v>515</v>
      </c>
      <c r="H94" s="70"/>
      <c r="I94" s="71">
        <f>SUM(I92:I93)</f>
        <v>453</v>
      </c>
      <c r="J94" s="70"/>
      <c r="K94" s="71">
        <f>SUM(K92:K93)</f>
        <v>515</v>
      </c>
      <c r="M94" s="70"/>
    </row>
    <row r="95" spans="1:15" s="40" customFormat="1" x14ac:dyDescent="0.2">
      <c r="A95" s="38" t="s">
        <v>199</v>
      </c>
      <c r="B95" s="39"/>
      <c r="G95" s="63"/>
      <c r="M95" s="64"/>
    </row>
    <row r="96" spans="1:15" s="40" customFormat="1" x14ac:dyDescent="0.2">
      <c r="A96" s="41" t="s">
        <v>270</v>
      </c>
      <c r="B96" s="39"/>
      <c r="C96" s="71">
        <v>210</v>
      </c>
      <c r="D96" s="70"/>
      <c r="E96" s="71">
        <v>201</v>
      </c>
      <c r="F96" s="70"/>
      <c r="G96" s="71">
        <v>230</v>
      </c>
      <c r="H96" s="70"/>
      <c r="I96" s="71">
        <v>198</v>
      </c>
      <c r="J96" s="70"/>
      <c r="K96" s="71">
        <v>230</v>
      </c>
      <c r="M96" s="70"/>
    </row>
    <row r="97" spans="1:16" s="40" customFormat="1" x14ac:dyDescent="0.2">
      <c r="A97" s="41" t="s">
        <v>293</v>
      </c>
      <c r="B97" s="39"/>
      <c r="C97" s="71">
        <v>43</v>
      </c>
      <c r="D97" s="70"/>
      <c r="E97" s="71">
        <v>46</v>
      </c>
      <c r="F97" s="70"/>
      <c r="G97" s="71">
        <v>50</v>
      </c>
      <c r="H97" s="70"/>
      <c r="I97" s="71">
        <v>48</v>
      </c>
      <c r="J97" s="70"/>
      <c r="K97" s="71">
        <v>50</v>
      </c>
      <c r="M97" s="70"/>
    </row>
    <row r="98" spans="1:16" s="40" customFormat="1" x14ac:dyDescent="0.2">
      <c r="A98" s="41" t="s">
        <v>308</v>
      </c>
      <c r="B98" s="39"/>
      <c r="C98" s="71">
        <v>34</v>
      </c>
      <c r="D98" s="70"/>
      <c r="E98" s="71">
        <v>35</v>
      </c>
      <c r="F98" s="70"/>
      <c r="G98" s="71">
        <v>36</v>
      </c>
      <c r="H98" s="70"/>
      <c r="I98" s="71">
        <v>30</v>
      </c>
      <c r="J98" s="70"/>
      <c r="K98" s="71">
        <v>36</v>
      </c>
      <c r="M98" s="70"/>
    </row>
    <row r="99" spans="1:16" s="40" customFormat="1" x14ac:dyDescent="0.2">
      <c r="A99" s="41" t="s">
        <v>334</v>
      </c>
      <c r="B99" s="39"/>
      <c r="C99" s="71">
        <v>18</v>
      </c>
      <c r="D99" s="70"/>
      <c r="E99" s="71">
        <v>16</v>
      </c>
      <c r="F99" s="70"/>
      <c r="G99" s="71">
        <v>22</v>
      </c>
      <c r="H99" s="70"/>
      <c r="I99" s="71">
        <v>13</v>
      </c>
      <c r="J99" s="70"/>
      <c r="K99" s="71">
        <v>22</v>
      </c>
      <c r="M99" s="70"/>
    </row>
    <row r="100" spans="1:16" s="40" customFormat="1" x14ac:dyDescent="0.2">
      <c r="A100" s="41" t="s">
        <v>315</v>
      </c>
      <c r="B100" s="39"/>
      <c r="C100" s="71">
        <v>79</v>
      </c>
      <c r="D100" s="70"/>
      <c r="E100" s="71">
        <v>77</v>
      </c>
      <c r="F100" s="70"/>
      <c r="G100" s="71">
        <v>94</v>
      </c>
      <c r="H100" s="70"/>
      <c r="I100" s="71">
        <v>78</v>
      </c>
      <c r="J100" s="70"/>
      <c r="K100" s="71">
        <v>94</v>
      </c>
      <c r="M100" s="70"/>
    </row>
    <row r="101" spans="1:16" s="40" customFormat="1" x14ac:dyDescent="0.2">
      <c r="A101" s="41" t="s">
        <v>327</v>
      </c>
      <c r="B101" s="39"/>
      <c r="C101" s="71">
        <v>26</v>
      </c>
      <c r="D101" s="70"/>
      <c r="E101" s="71">
        <v>31</v>
      </c>
      <c r="F101" s="70"/>
      <c r="G101" s="71">
        <v>33</v>
      </c>
      <c r="H101" s="70"/>
      <c r="I101" s="71">
        <v>30</v>
      </c>
      <c r="J101" s="70"/>
      <c r="K101" s="71">
        <v>33</v>
      </c>
      <c r="M101" s="70"/>
    </row>
    <row r="102" spans="1:16" s="40" customFormat="1" x14ac:dyDescent="0.2">
      <c r="A102" s="41" t="s">
        <v>335</v>
      </c>
      <c r="B102" s="39"/>
      <c r="C102" s="71">
        <v>45</v>
      </c>
      <c r="D102" s="70"/>
      <c r="E102" s="71">
        <v>53</v>
      </c>
      <c r="F102" s="70"/>
      <c r="G102" s="71">
        <v>50</v>
      </c>
      <c r="H102" s="70"/>
      <c r="I102" s="71">
        <v>56</v>
      </c>
      <c r="J102" s="70"/>
      <c r="K102" s="71">
        <v>50</v>
      </c>
      <c r="M102" s="70"/>
    </row>
    <row r="103" spans="1:16" s="40" customFormat="1" x14ac:dyDescent="0.2">
      <c r="A103" s="41" t="s">
        <v>198</v>
      </c>
      <c r="B103" s="39"/>
      <c r="C103" s="71">
        <f>SUM(C96:C102)</f>
        <v>455</v>
      </c>
      <c r="D103" s="70"/>
      <c r="E103" s="71">
        <f>E96+E97+E98+E99+E100+E101+E102</f>
        <v>459</v>
      </c>
      <c r="F103" s="70"/>
      <c r="G103" s="71">
        <f>SUM(G96:G102)</f>
        <v>515</v>
      </c>
      <c r="H103" s="70"/>
      <c r="I103" s="71">
        <f>SUM(I96:I102)</f>
        <v>453</v>
      </c>
      <c r="J103" s="70"/>
      <c r="K103" s="71">
        <f>SUM(K96:K102)</f>
        <v>515</v>
      </c>
      <c r="M103" s="70"/>
    </row>
    <row r="104" spans="1:16" s="40" customFormat="1" x14ac:dyDescent="0.2">
      <c r="A104" s="90"/>
      <c r="B104" s="39"/>
      <c r="E104" s="63"/>
      <c r="M104" s="64"/>
    </row>
    <row r="105" spans="1:16" x14ac:dyDescent="0.2">
      <c r="A105" s="136" t="s">
        <v>200</v>
      </c>
      <c r="B105" s="54"/>
      <c r="C105" s="107"/>
      <c r="D105" s="54"/>
      <c r="E105" s="107"/>
      <c r="F105" s="54"/>
      <c r="G105" s="107"/>
      <c r="H105" s="54"/>
      <c r="I105" s="107"/>
      <c r="J105" s="54"/>
      <c r="K105" s="107"/>
      <c r="L105" s="54"/>
      <c r="M105" s="107"/>
      <c r="N105" s="54"/>
      <c r="O105" s="54"/>
      <c r="P105" s="54"/>
    </row>
    <row r="106" spans="1:16" ht="29.45" customHeight="1" x14ac:dyDescent="0.2">
      <c r="A106" s="1738" t="s">
        <v>218</v>
      </c>
      <c r="B106" s="1736"/>
      <c r="C106" s="1737"/>
      <c r="D106" s="1736"/>
      <c r="E106" s="1737"/>
      <c r="F106" s="1736"/>
      <c r="G106" s="1737"/>
      <c r="H106" s="1736"/>
      <c r="I106" s="1737"/>
      <c r="J106" s="1736"/>
      <c r="K106" s="1737"/>
      <c r="L106" s="1736"/>
      <c r="M106" s="1737"/>
      <c r="N106" s="1736"/>
      <c r="O106" s="54"/>
      <c r="P106" s="54"/>
    </row>
    <row r="107" spans="1:16" ht="29.45" customHeight="1" x14ac:dyDescent="0.2">
      <c r="A107" s="1738" t="s">
        <v>336</v>
      </c>
      <c r="B107" s="1738"/>
      <c r="C107" s="1738"/>
      <c r="D107" s="1738"/>
      <c r="E107" s="1738"/>
      <c r="F107" s="1738"/>
      <c r="G107" s="1738"/>
      <c r="H107" s="1738"/>
      <c r="I107" s="1738"/>
      <c r="J107" s="1738"/>
      <c r="K107" s="1738"/>
      <c r="L107" s="137"/>
      <c r="M107" s="138"/>
      <c r="N107" s="137"/>
      <c r="O107" s="54"/>
      <c r="P107" s="54"/>
    </row>
    <row r="108" spans="1:16" ht="19.5" customHeight="1" x14ac:dyDescent="0.2">
      <c r="A108" s="1738" t="s">
        <v>337</v>
      </c>
      <c r="B108" s="1738"/>
      <c r="C108" s="1738"/>
      <c r="D108" s="1738"/>
      <c r="E108" s="1738"/>
      <c r="F108" s="1738"/>
      <c r="G108" s="1738"/>
      <c r="H108" s="1738"/>
      <c r="I108" s="1738"/>
      <c r="J108" s="1738"/>
      <c r="K108" s="1738"/>
      <c r="L108" s="137"/>
      <c r="M108" s="138"/>
      <c r="N108" s="137"/>
      <c r="O108" s="54"/>
      <c r="P108" s="54"/>
    </row>
    <row r="109" spans="1:16" ht="14.25" customHeight="1" x14ac:dyDescent="0.2">
      <c r="A109" s="1738" t="s">
        <v>338</v>
      </c>
      <c r="B109" s="1738"/>
      <c r="C109" s="1738"/>
      <c r="D109" s="1738"/>
      <c r="E109" s="1738"/>
      <c r="F109" s="1738"/>
      <c r="G109" s="1738"/>
      <c r="H109" s="1738"/>
      <c r="I109" s="1738"/>
      <c r="J109" s="1738"/>
      <c r="K109" s="1738"/>
      <c r="L109" s="137"/>
      <c r="M109" s="138"/>
      <c r="N109" s="137"/>
      <c r="O109" s="54"/>
      <c r="P109" s="54"/>
    </row>
    <row r="110" spans="1:16" ht="16.5" customHeight="1" x14ac:dyDescent="0.2">
      <c r="A110" s="1738"/>
      <c r="B110" s="1738"/>
      <c r="C110" s="1738"/>
      <c r="D110" s="1738"/>
      <c r="E110" s="1738"/>
      <c r="F110" s="1738"/>
      <c r="G110" s="1738"/>
      <c r="H110" s="1738"/>
      <c r="I110" s="1738"/>
      <c r="J110" s="1738"/>
      <c r="K110" s="1738"/>
      <c r="L110" s="137"/>
      <c r="M110" s="138"/>
      <c r="N110" s="137"/>
      <c r="O110" s="54"/>
      <c r="P110" s="54"/>
    </row>
    <row r="111" spans="1:16" x14ac:dyDescent="0.2">
      <c r="A111" s="1738"/>
      <c r="B111" s="1736"/>
      <c r="C111" s="1737"/>
      <c r="D111" s="1736"/>
      <c r="E111" s="1737"/>
      <c r="F111" s="1736"/>
      <c r="G111" s="1737"/>
      <c r="H111" s="1736"/>
      <c r="I111" s="1737"/>
      <c r="J111" s="1736"/>
      <c r="K111" s="1737"/>
      <c r="L111" s="1736"/>
      <c r="M111" s="1737"/>
      <c r="N111" s="1736"/>
      <c r="O111" s="54"/>
      <c r="P111" s="54"/>
    </row>
    <row r="112" spans="1:16" ht="31.15" customHeight="1" x14ac:dyDescent="0.2">
      <c r="A112" s="1738"/>
      <c r="B112" s="1736"/>
      <c r="C112" s="1736"/>
      <c r="D112" s="1736"/>
      <c r="E112" s="1736"/>
      <c r="F112" s="1736"/>
      <c r="G112" s="1736"/>
      <c r="H112" s="1736"/>
      <c r="I112" s="1736"/>
      <c r="J112" s="1736"/>
      <c r="K112" s="1736"/>
      <c r="L112" s="1736"/>
      <c r="M112" s="107"/>
      <c r="N112" s="54"/>
      <c r="O112" s="54"/>
      <c r="P112" s="54"/>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c r="C118" s="25"/>
      <c r="D118" s="25"/>
      <c r="E118" s="58"/>
      <c r="F118" s="58"/>
      <c r="G118" s="58"/>
      <c r="H118" s="58"/>
    </row>
    <row r="119" spans="2:8" x14ac:dyDescent="0.2">
      <c r="B119" s="25"/>
      <c r="C119" s="25"/>
      <c r="D119" s="25"/>
      <c r="E119" s="58"/>
      <c r="F119" s="58"/>
      <c r="G119" s="58"/>
      <c r="H119" s="58"/>
    </row>
    <row r="120" spans="2:8" x14ac:dyDescent="0.2">
      <c r="B120" s="25"/>
      <c r="C120" s="25"/>
      <c r="D120" s="25"/>
      <c r="E120" s="58"/>
      <c r="F120" s="58"/>
      <c r="G120" s="58"/>
      <c r="H120" s="58"/>
    </row>
    <row r="121" spans="2:8" x14ac:dyDescent="0.2">
      <c r="B121" s="25"/>
      <c r="C121" s="25"/>
      <c r="D121" s="25"/>
      <c r="E121" s="58"/>
      <c r="F121" s="58"/>
      <c r="G121" s="58"/>
      <c r="H121" s="58"/>
    </row>
    <row r="122" spans="2:8" x14ac:dyDescent="0.2">
      <c r="B122" s="25"/>
      <c r="C122" s="25"/>
      <c r="D122" s="25"/>
      <c r="E122" s="58"/>
      <c r="F122" s="58"/>
      <c r="G122" s="58"/>
      <c r="H122" s="58"/>
    </row>
    <row r="123" spans="2:8" x14ac:dyDescent="0.2">
      <c r="B123" s="25"/>
      <c r="C123" s="25"/>
      <c r="D123" s="25"/>
      <c r="E123" s="58"/>
      <c r="F123" s="58"/>
      <c r="G123" s="58"/>
      <c r="H123" s="58"/>
    </row>
    <row r="124" spans="2:8" x14ac:dyDescent="0.2">
      <c r="B124" s="25"/>
      <c r="C124" s="25"/>
      <c r="D124" s="25"/>
      <c r="E124" s="58"/>
      <c r="F124" s="58"/>
      <c r="G124" s="58"/>
      <c r="H124" s="58"/>
    </row>
    <row r="125" spans="2:8" x14ac:dyDescent="0.2">
      <c r="B125" s="25"/>
      <c r="C125" s="25"/>
      <c r="D125" s="25"/>
      <c r="E125" s="58"/>
      <c r="F125" s="58"/>
      <c r="G125" s="58"/>
      <c r="H125" s="58"/>
    </row>
    <row r="126" spans="2:8" x14ac:dyDescent="0.2">
      <c r="B126" s="25"/>
      <c r="C126" s="25"/>
      <c r="D126" s="25"/>
      <c r="E126" s="58"/>
      <c r="F126" s="58"/>
      <c r="G126" s="58"/>
      <c r="H126" s="58"/>
    </row>
    <row r="127" spans="2:8" x14ac:dyDescent="0.2">
      <c r="B127" s="25"/>
      <c r="C127" s="25"/>
      <c r="D127" s="25"/>
      <c r="E127" s="58"/>
      <c r="F127" s="58"/>
      <c r="G127" s="58"/>
      <c r="H127" s="58"/>
    </row>
    <row r="128" spans="2:8" x14ac:dyDescent="0.2">
      <c r="B128" s="25"/>
      <c r="C128" s="58"/>
      <c r="D128" s="25"/>
      <c r="E128" s="58"/>
      <c r="F128" s="58"/>
      <c r="G128" s="58"/>
      <c r="H128" s="58"/>
    </row>
    <row r="129" spans="2:8" x14ac:dyDescent="0.2">
      <c r="B129" s="25"/>
      <c r="C129" s="25"/>
      <c r="D129" s="25"/>
      <c r="E129" s="58"/>
      <c r="F129" s="58"/>
      <c r="G129" s="58"/>
      <c r="H129" s="58"/>
    </row>
    <row r="130" spans="2:8" x14ac:dyDescent="0.2">
      <c r="B130" s="25"/>
      <c r="C130" s="25"/>
      <c r="D130" s="25"/>
      <c r="E130" s="58"/>
      <c r="F130" s="58"/>
      <c r="G130" s="58"/>
      <c r="H130" s="58"/>
    </row>
    <row r="131" spans="2:8" x14ac:dyDescent="0.2">
      <c r="B131" s="25"/>
      <c r="C131" s="25"/>
      <c r="D131" s="25"/>
      <c r="E131" s="58"/>
      <c r="F131" s="58"/>
      <c r="G131" s="58"/>
      <c r="H131" s="58"/>
    </row>
    <row r="132" spans="2:8" x14ac:dyDescent="0.2">
      <c r="B132" s="25"/>
      <c r="C132" s="25"/>
      <c r="D132" s="25"/>
      <c r="E132" s="58"/>
      <c r="F132" s="58"/>
      <c r="G132" s="58"/>
      <c r="H132" s="58"/>
    </row>
    <row r="133" spans="2:8" x14ac:dyDescent="0.2">
      <c r="B133" s="25"/>
      <c r="C133" s="25"/>
      <c r="D133" s="25"/>
      <c r="E133" s="58"/>
      <c r="F133" s="58"/>
      <c r="G133" s="58"/>
      <c r="H133" s="58"/>
    </row>
    <row r="134" spans="2:8" x14ac:dyDescent="0.2">
      <c r="B134" s="25"/>
      <c r="C134" s="25"/>
      <c r="D134" s="25"/>
      <c r="E134" s="58"/>
      <c r="F134" s="58"/>
      <c r="G134" s="58"/>
      <c r="H134" s="58"/>
    </row>
    <row r="135" spans="2:8" x14ac:dyDescent="0.2">
      <c r="B135" s="25"/>
      <c r="C135" s="25"/>
      <c r="D135" s="25"/>
      <c r="E135" s="58"/>
      <c r="F135" s="58"/>
      <c r="G135" s="58"/>
      <c r="H135" s="58"/>
    </row>
    <row r="136" spans="2:8" x14ac:dyDescent="0.2">
      <c r="B136" s="25"/>
      <c r="C136" s="25"/>
      <c r="D136" s="25"/>
      <c r="E136" s="58"/>
      <c r="F136" s="58"/>
      <c r="G136" s="58"/>
      <c r="H136" s="58"/>
    </row>
    <row r="137" spans="2:8" x14ac:dyDescent="0.2">
      <c r="B137" s="25"/>
      <c r="C137" s="25"/>
      <c r="D137" s="25"/>
      <c r="E137" s="58"/>
      <c r="F137" s="58"/>
      <c r="G137" s="58"/>
      <c r="H137" s="58"/>
    </row>
    <row r="138" spans="2:8" x14ac:dyDescent="0.2">
      <c r="B138" s="25"/>
      <c r="C138" s="25"/>
      <c r="D138" s="25"/>
      <c r="E138" s="58"/>
      <c r="F138" s="58"/>
      <c r="G138" s="58"/>
      <c r="H138" s="58"/>
    </row>
    <row r="139" spans="2:8" x14ac:dyDescent="0.2">
      <c r="B139" s="25"/>
      <c r="C139" s="25"/>
      <c r="D139" s="25"/>
      <c r="E139" s="58"/>
      <c r="F139" s="58"/>
      <c r="G139" s="58"/>
      <c r="H139" s="58"/>
    </row>
    <row r="140" spans="2:8" x14ac:dyDescent="0.2">
      <c r="B140" s="25"/>
      <c r="C140" s="25"/>
      <c r="D140" s="25"/>
      <c r="E140" s="58"/>
      <c r="F140" s="58"/>
      <c r="G140" s="58"/>
      <c r="H140" s="58"/>
    </row>
    <row r="141" spans="2:8" x14ac:dyDescent="0.2">
      <c r="B141" s="25"/>
      <c r="C141" s="25"/>
      <c r="D141" s="25"/>
      <c r="E141" s="58"/>
      <c r="F141" s="58"/>
      <c r="G141" s="58"/>
      <c r="H141" s="58"/>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row r="154" spans="2:2" x14ac:dyDescent="0.2">
      <c r="B154" s="25"/>
    </row>
    <row r="155" spans="2:2" x14ac:dyDescent="0.2">
      <c r="B155" s="25"/>
    </row>
    <row r="156" spans="2:2" x14ac:dyDescent="0.2">
      <c r="B156" s="25"/>
    </row>
    <row r="157" spans="2:2" x14ac:dyDescent="0.2">
      <c r="B157" s="25"/>
    </row>
    <row r="158" spans="2:2" x14ac:dyDescent="0.2">
      <c r="B158" s="25"/>
    </row>
  </sheetData>
  <mergeCells count="8">
    <mergeCell ref="A112:L112"/>
    <mergeCell ref="K2:K3"/>
    <mergeCell ref="A106:N106"/>
    <mergeCell ref="A107:K107"/>
    <mergeCell ref="A108:K108"/>
    <mergeCell ref="A109:K109"/>
    <mergeCell ref="A110:K110"/>
    <mergeCell ref="A111:N111"/>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3" fitToHeight="2" pageOrder="overThenDown" orientation="portrait" blackAndWhite="1"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2">
    <pageSetUpPr fitToPage="1"/>
  </sheetPr>
  <dimension ref="A1:Q13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2303</v>
      </c>
      <c r="C3" s="10" t="s">
        <v>2304</v>
      </c>
      <c r="D3" s="6"/>
      <c r="E3" s="11"/>
      <c r="F3" s="9"/>
      <c r="G3" s="11"/>
      <c r="H3" s="6"/>
      <c r="I3" s="11"/>
      <c r="J3" s="6"/>
      <c r="K3" s="1734"/>
      <c r="L3" s="6"/>
      <c r="M3" s="11"/>
      <c r="N3" s="6"/>
    </row>
    <row r="4" spans="1:16" s="4" customFormat="1" ht="15.75" x14ac:dyDescent="0.25">
      <c r="A4" s="1" t="s">
        <v>180</v>
      </c>
      <c r="B4" s="10" t="s">
        <v>1369</v>
      </c>
      <c r="C4" s="10" t="s">
        <v>66</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c r="E10" s="87"/>
      <c r="F10" s="87"/>
    </row>
    <row r="11" spans="1:16" s="37" customFormat="1" x14ac:dyDescent="0.2">
      <c r="A11" s="35" t="s">
        <v>2414</v>
      </c>
      <c r="B11" s="36"/>
      <c r="C11" s="87"/>
      <c r="D11" s="87"/>
      <c r="E11" s="87"/>
      <c r="F11" s="87"/>
    </row>
    <row r="12" spans="1:16" s="40" customFormat="1" x14ac:dyDescent="0.2">
      <c r="A12" s="38" t="s">
        <v>2415</v>
      </c>
      <c r="B12" s="39"/>
      <c r="C12" s="63"/>
      <c r="D12" s="63"/>
      <c r="E12" s="63"/>
      <c r="F12" s="63"/>
    </row>
    <row r="13" spans="1:16" s="40" customFormat="1" x14ac:dyDescent="0.2">
      <c r="A13" s="41" t="s">
        <v>2416</v>
      </c>
      <c r="B13" s="39"/>
      <c r="C13" s="76">
        <v>270200</v>
      </c>
      <c r="D13" s="63"/>
      <c r="E13" s="76">
        <v>261125</v>
      </c>
      <c r="F13" s="63"/>
      <c r="G13" s="76">
        <v>259600</v>
      </c>
      <c r="I13" s="76">
        <v>254991</v>
      </c>
      <c r="K13" s="76">
        <v>254991</v>
      </c>
      <c r="M13" s="76"/>
    </row>
    <row r="14" spans="1:16" s="40" customFormat="1" x14ac:dyDescent="0.2">
      <c r="A14" s="41" t="s">
        <v>2417</v>
      </c>
      <c r="B14" s="39"/>
      <c r="C14" s="253">
        <v>5.39</v>
      </c>
      <c r="D14" s="63"/>
      <c r="E14" s="253">
        <v>5.0199999999999996</v>
      </c>
      <c r="F14" s="63"/>
      <c r="G14" s="253">
        <v>6.01</v>
      </c>
      <c r="I14" s="253">
        <v>5.93</v>
      </c>
      <c r="K14" s="253">
        <v>5.93</v>
      </c>
      <c r="M14" s="253"/>
    </row>
    <row r="15" spans="1:16" s="40" customFormat="1" x14ac:dyDescent="0.2">
      <c r="A15" s="41" t="s">
        <v>2418</v>
      </c>
      <c r="B15" s="39"/>
      <c r="C15" s="253">
        <v>2.54</v>
      </c>
      <c r="D15" s="63"/>
      <c r="E15" s="253">
        <v>2.56</v>
      </c>
      <c r="F15" s="63"/>
      <c r="G15" s="253">
        <v>2.78</v>
      </c>
      <c r="I15" s="253">
        <v>2.72</v>
      </c>
      <c r="K15" s="253">
        <v>2.72</v>
      </c>
      <c r="M15" s="253"/>
    </row>
    <row r="16" spans="1:16" s="40" customFormat="1" x14ac:dyDescent="0.2">
      <c r="A16" s="41" t="s">
        <v>2419</v>
      </c>
      <c r="B16" s="39"/>
      <c r="C16" s="253">
        <v>10.82</v>
      </c>
      <c r="D16" s="63"/>
      <c r="E16" s="253">
        <v>9.8000000000000007</v>
      </c>
      <c r="F16" s="63"/>
      <c r="G16" s="253">
        <v>11.31</v>
      </c>
      <c r="I16" s="253">
        <v>11.45</v>
      </c>
      <c r="K16" s="253">
        <v>11.45</v>
      </c>
      <c r="M16" s="253"/>
    </row>
    <row r="17" spans="1:13" s="40" customFormat="1" x14ac:dyDescent="0.2">
      <c r="A17" s="41" t="s">
        <v>2420</v>
      </c>
      <c r="B17" s="39"/>
      <c r="C17" s="253">
        <v>5.09</v>
      </c>
      <c r="D17" s="63"/>
      <c r="E17" s="253">
        <v>4.99</v>
      </c>
      <c r="F17" s="63"/>
      <c r="G17" s="253">
        <v>5.23</v>
      </c>
      <c r="I17" s="253">
        <v>5.25</v>
      </c>
      <c r="K17" s="253">
        <v>5.25</v>
      </c>
      <c r="M17" s="253"/>
    </row>
    <row r="18" spans="1:13" s="40" customFormat="1" x14ac:dyDescent="0.2">
      <c r="A18" s="41" t="s">
        <v>2421</v>
      </c>
      <c r="B18" s="39"/>
      <c r="C18" s="100">
        <f>C17/C16</f>
        <v>0.47042513863216262</v>
      </c>
      <c r="D18" s="63"/>
      <c r="E18" s="100">
        <f>E17/E16</f>
        <v>0.50918367346938775</v>
      </c>
      <c r="F18" s="100"/>
      <c r="G18" s="100">
        <f>G17/G16</f>
        <v>0.46242263483642798</v>
      </c>
      <c r="I18" s="100">
        <f t="shared" ref="I18:K18" si="0">I17/I16</f>
        <v>0.45851528384279477</v>
      </c>
      <c r="K18" s="100">
        <f t="shared" si="0"/>
        <v>0.45851528384279477</v>
      </c>
      <c r="M18" s="100"/>
    </row>
    <row r="19" spans="1:13" s="40" customFormat="1" x14ac:dyDescent="0.2">
      <c r="A19" s="41" t="s">
        <v>2422</v>
      </c>
      <c r="B19" s="39"/>
      <c r="C19" s="63"/>
      <c r="D19" s="63"/>
      <c r="E19" s="63"/>
      <c r="F19" s="63"/>
      <c r="G19" s="63"/>
      <c r="I19" s="63"/>
      <c r="K19" s="63"/>
      <c r="M19" s="63"/>
    </row>
    <row r="20" spans="1:13" s="40" customFormat="1" x14ac:dyDescent="0.2">
      <c r="A20" s="90" t="s">
        <v>2423</v>
      </c>
      <c r="B20" s="39"/>
      <c r="C20" s="91">
        <v>2234</v>
      </c>
      <c r="D20" s="76"/>
      <c r="E20" s="76">
        <v>2220</v>
      </c>
      <c r="F20" s="63"/>
      <c r="G20" s="76">
        <v>2234</v>
      </c>
      <c r="I20" s="76">
        <v>2220</v>
      </c>
      <c r="K20" s="76">
        <v>2220</v>
      </c>
      <c r="M20" s="76"/>
    </row>
    <row r="21" spans="1:13" s="40" customFormat="1" x14ac:dyDescent="0.2">
      <c r="A21" s="90" t="s">
        <v>2424</v>
      </c>
      <c r="B21" s="39"/>
      <c r="C21" s="91">
        <v>825</v>
      </c>
      <c r="D21" s="63"/>
      <c r="E21" s="76">
        <v>822</v>
      </c>
      <c r="F21" s="63"/>
      <c r="G21" s="76">
        <v>822</v>
      </c>
      <c r="I21" s="76">
        <v>824</v>
      </c>
      <c r="K21" s="76">
        <v>824</v>
      </c>
      <c r="M21" s="76"/>
    </row>
    <row r="22" spans="1:13" s="40" customFormat="1" x14ac:dyDescent="0.2">
      <c r="A22" s="131" t="s">
        <v>211</v>
      </c>
      <c r="B22" s="39"/>
      <c r="C22" s="63"/>
      <c r="D22" s="63"/>
      <c r="E22" s="63"/>
      <c r="F22" s="63"/>
      <c r="G22" s="63"/>
      <c r="I22" s="63"/>
      <c r="K22" s="63"/>
    </row>
    <row r="23" spans="1:13" s="40" customFormat="1" x14ac:dyDescent="0.2">
      <c r="A23" s="38" t="s">
        <v>2425</v>
      </c>
      <c r="B23" s="39"/>
      <c r="C23" s="63"/>
      <c r="D23" s="63"/>
      <c r="E23" s="63"/>
      <c r="F23" s="63"/>
      <c r="G23" s="63"/>
      <c r="I23" s="63"/>
      <c r="K23" s="63"/>
    </row>
    <row r="24" spans="1:13" s="40" customFormat="1" x14ac:dyDescent="0.2">
      <c r="A24" s="41" t="s">
        <v>2416</v>
      </c>
      <c r="B24" s="39"/>
      <c r="C24" s="76">
        <v>161875</v>
      </c>
      <c r="D24" s="76"/>
      <c r="E24" s="76">
        <v>157800</v>
      </c>
      <c r="F24" s="63"/>
      <c r="G24" s="76">
        <v>161300</v>
      </c>
      <c r="I24" s="76">
        <v>149168</v>
      </c>
      <c r="K24" s="76">
        <v>149168</v>
      </c>
      <c r="M24" s="76"/>
    </row>
    <row r="25" spans="1:13" s="40" customFormat="1" x14ac:dyDescent="0.2">
      <c r="A25" s="41" t="s">
        <v>2417</v>
      </c>
      <c r="B25" s="39"/>
      <c r="C25" s="253">
        <v>9.1300000000000008</v>
      </c>
      <c r="D25" s="63"/>
      <c r="E25" s="253">
        <v>9.5500000000000007</v>
      </c>
      <c r="F25" s="63"/>
      <c r="G25" s="253">
        <v>10.83</v>
      </c>
      <c r="I25" s="253">
        <v>11.28</v>
      </c>
      <c r="K25" s="253">
        <v>11.28</v>
      </c>
      <c r="M25" s="253"/>
    </row>
    <row r="26" spans="1:13" s="40" customFormat="1" x14ac:dyDescent="0.2">
      <c r="A26" s="41" t="s">
        <v>2418</v>
      </c>
      <c r="B26" s="39"/>
      <c r="C26" s="253">
        <v>7.45</v>
      </c>
      <c r="D26" s="63"/>
      <c r="E26" s="253">
        <v>7.43</v>
      </c>
      <c r="F26" s="63"/>
      <c r="G26" s="253">
        <v>8.07</v>
      </c>
      <c r="I26" s="253">
        <v>7.94</v>
      </c>
      <c r="K26" s="253">
        <v>7.94</v>
      </c>
      <c r="M26" s="253"/>
    </row>
    <row r="27" spans="1:13" s="40" customFormat="1" x14ac:dyDescent="0.2">
      <c r="A27" s="41" t="s">
        <v>2419</v>
      </c>
      <c r="B27" s="39"/>
      <c r="C27" s="253">
        <v>12.2</v>
      </c>
      <c r="D27" s="63"/>
      <c r="E27" s="253">
        <v>12.77</v>
      </c>
      <c r="F27" s="63"/>
      <c r="G27" s="253">
        <v>14.47</v>
      </c>
      <c r="I27" s="253">
        <v>14.6</v>
      </c>
      <c r="K27" s="253">
        <v>14.6</v>
      </c>
      <c r="M27" s="253"/>
    </row>
    <row r="28" spans="1:13" s="40" customFormat="1" x14ac:dyDescent="0.2">
      <c r="A28" s="41" t="s">
        <v>2420</v>
      </c>
      <c r="B28" s="39"/>
      <c r="C28" s="253">
        <v>9.9499999999999993</v>
      </c>
      <c r="D28" s="63"/>
      <c r="E28" s="253">
        <v>9.94</v>
      </c>
      <c r="F28" s="63"/>
      <c r="G28" s="253">
        <v>10.78</v>
      </c>
      <c r="I28" s="253">
        <v>10.29</v>
      </c>
      <c r="K28" s="253">
        <v>10.29</v>
      </c>
      <c r="M28" s="253"/>
    </row>
    <row r="29" spans="1:13" s="40" customFormat="1" x14ac:dyDescent="0.2">
      <c r="A29" s="41" t="s">
        <v>2421</v>
      </c>
      <c r="B29" s="39"/>
      <c r="C29" s="100">
        <f>C28/C27</f>
        <v>0.81557377049180324</v>
      </c>
      <c r="D29" s="63"/>
      <c r="E29" s="100">
        <f>E28/E27</f>
        <v>0.77838684416601411</v>
      </c>
      <c r="F29" s="100"/>
      <c r="G29" s="100">
        <f>G28/G27</f>
        <v>0.74498963372494809</v>
      </c>
      <c r="I29" s="100">
        <f t="shared" ref="I29:K29" si="1">I28/I27</f>
        <v>0.70479452054794511</v>
      </c>
      <c r="K29" s="100">
        <f t="shared" si="1"/>
        <v>0.70479452054794511</v>
      </c>
      <c r="M29" s="100"/>
    </row>
    <row r="30" spans="1:13" s="40" customFormat="1" x14ac:dyDescent="0.2">
      <c r="A30" s="41" t="s">
        <v>2422</v>
      </c>
      <c r="B30" s="39"/>
      <c r="C30" s="63"/>
      <c r="D30" s="63"/>
      <c r="E30" s="63"/>
      <c r="F30" s="63"/>
      <c r="G30" s="63"/>
      <c r="I30" s="63"/>
      <c r="K30" s="63"/>
      <c r="M30" s="63"/>
    </row>
    <row r="31" spans="1:13" s="40" customFormat="1" x14ac:dyDescent="0.2">
      <c r="A31" s="90" t="s">
        <v>2426</v>
      </c>
      <c r="B31" s="39"/>
      <c r="C31" s="76">
        <v>1112</v>
      </c>
      <c r="D31" s="76"/>
      <c r="E31" s="76">
        <v>1109</v>
      </c>
      <c r="F31" s="63"/>
      <c r="G31" s="76">
        <v>1109</v>
      </c>
      <c r="I31" s="76">
        <v>1109</v>
      </c>
      <c r="K31" s="76">
        <v>1109</v>
      </c>
      <c r="M31" s="76"/>
    </row>
    <row r="32" spans="1:13" s="40" customFormat="1" x14ac:dyDescent="0.2">
      <c r="A32" s="90" t="s">
        <v>2427</v>
      </c>
      <c r="B32" s="39"/>
      <c r="C32" s="76">
        <v>165</v>
      </c>
      <c r="D32" s="76"/>
      <c r="E32" s="76">
        <v>164</v>
      </c>
      <c r="F32" s="76"/>
      <c r="G32" s="76">
        <v>163</v>
      </c>
      <c r="I32" s="76">
        <v>179</v>
      </c>
      <c r="K32" s="76">
        <v>179</v>
      </c>
      <c r="M32" s="76"/>
    </row>
    <row r="33" spans="1:13" s="40" customFormat="1" x14ac:dyDescent="0.2">
      <c r="A33" s="131" t="s">
        <v>211</v>
      </c>
      <c r="B33" s="39"/>
      <c r="C33" s="63"/>
      <c r="D33" s="63"/>
      <c r="E33" s="63"/>
      <c r="F33" s="63"/>
      <c r="G33" s="63"/>
      <c r="I33" s="63"/>
      <c r="K33" s="63"/>
    </row>
    <row r="34" spans="1:13" s="40" customFormat="1" x14ac:dyDescent="0.2">
      <c r="A34" s="38" t="s">
        <v>2428</v>
      </c>
      <c r="B34" s="39"/>
      <c r="C34" s="63"/>
      <c r="D34" s="63"/>
      <c r="E34" s="63"/>
      <c r="F34" s="63"/>
      <c r="G34" s="63"/>
      <c r="I34" s="63"/>
      <c r="K34" s="63"/>
    </row>
    <row r="35" spans="1:13" s="40" customFormat="1" x14ac:dyDescent="0.2">
      <c r="A35" s="41" t="s">
        <v>2416</v>
      </c>
      <c r="B35" s="39"/>
      <c r="C35" s="76">
        <v>40350</v>
      </c>
      <c r="D35" s="76"/>
      <c r="E35" s="76">
        <v>39925</v>
      </c>
      <c r="F35" s="63"/>
      <c r="G35" s="76">
        <v>43200</v>
      </c>
      <c r="I35" s="76">
        <v>39422</v>
      </c>
      <c r="K35" s="76">
        <v>39422</v>
      </c>
      <c r="M35" s="76"/>
    </row>
    <row r="36" spans="1:13" s="40" customFormat="1" x14ac:dyDescent="0.2">
      <c r="A36" s="41" t="s">
        <v>2417</v>
      </c>
      <c r="B36" s="39"/>
      <c r="C36" s="253">
        <v>4.05</v>
      </c>
      <c r="D36" s="63"/>
      <c r="E36" s="253">
        <v>3.75</v>
      </c>
      <c r="F36" s="63"/>
      <c r="G36" s="253">
        <v>4.63</v>
      </c>
      <c r="I36" s="253">
        <v>5.03</v>
      </c>
      <c r="K36" s="253">
        <v>5.03</v>
      </c>
      <c r="M36" s="253"/>
    </row>
    <row r="37" spans="1:13" s="40" customFormat="1" x14ac:dyDescent="0.2">
      <c r="A37" s="41" t="s">
        <v>2418</v>
      </c>
      <c r="B37" s="39"/>
      <c r="C37" s="253">
        <v>1.1200000000000001</v>
      </c>
      <c r="D37" s="63"/>
      <c r="E37" s="253">
        <v>1.08</v>
      </c>
      <c r="F37" s="63"/>
      <c r="G37" s="253">
        <v>1.2</v>
      </c>
      <c r="I37" s="253">
        <v>1.1499999999999999</v>
      </c>
      <c r="K37" s="253">
        <v>1.1499999999999999</v>
      </c>
      <c r="M37" s="253"/>
    </row>
    <row r="38" spans="1:13" s="40" customFormat="1" x14ac:dyDescent="0.2">
      <c r="A38" s="41" t="s">
        <v>2419</v>
      </c>
      <c r="B38" s="39"/>
      <c r="C38" s="253">
        <v>25.48</v>
      </c>
      <c r="D38" s="63"/>
      <c r="E38" s="253">
        <v>22.19</v>
      </c>
      <c r="F38" s="63"/>
      <c r="G38" s="253">
        <v>31.18</v>
      </c>
      <c r="I38" s="253">
        <v>30.64</v>
      </c>
      <c r="K38" s="253">
        <v>30.64</v>
      </c>
      <c r="M38" s="253"/>
    </row>
    <row r="39" spans="1:13" s="40" customFormat="1" x14ac:dyDescent="0.2">
      <c r="A39" s="41" t="s">
        <v>2420</v>
      </c>
      <c r="B39" s="39"/>
      <c r="C39" s="253">
        <v>7.04</v>
      </c>
      <c r="D39" s="63"/>
      <c r="E39" s="253">
        <v>6.4</v>
      </c>
      <c r="F39" s="63"/>
      <c r="G39" s="253">
        <v>8.07</v>
      </c>
      <c r="I39" s="253">
        <v>7.01</v>
      </c>
      <c r="K39" s="253">
        <v>7.01</v>
      </c>
      <c r="M39" s="253"/>
    </row>
    <row r="40" spans="1:13" s="40" customFormat="1" x14ac:dyDescent="0.2">
      <c r="A40" s="41" t="s">
        <v>2421</v>
      </c>
      <c r="B40" s="39"/>
      <c r="C40" s="100">
        <f>C39/C38</f>
        <v>0.27629513343799056</v>
      </c>
      <c r="D40" s="63"/>
      <c r="E40" s="100">
        <f>E39/E38</f>
        <v>0.28841820639927895</v>
      </c>
      <c r="F40" s="100"/>
      <c r="G40" s="100">
        <f>G39/G38</f>
        <v>0.25881975625400899</v>
      </c>
      <c r="I40" s="100">
        <f t="shared" ref="I40:K40" si="2">I39/I38</f>
        <v>0.22878590078328981</v>
      </c>
      <c r="K40" s="100">
        <f t="shared" si="2"/>
        <v>0.22878590078328981</v>
      </c>
      <c r="M40" s="100"/>
    </row>
    <row r="41" spans="1:13" s="40" customFormat="1" x14ac:dyDescent="0.2">
      <c r="A41" s="90"/>
      <c r="B41" s="39"/>
      <c r="C41" s="63"/>
      <c r="D41" s="63"/>
      <c r="E41" s="63"/>
      <c r="F41" s="63"/>
      <c r="G41" s="63"/>
      <c r="I41" s="63"/>
      <c r="K41" s="63"/>
    </row>
    <row r="42" spans="1:13" s="40" customFormat="1" x14ac:dyDescent="0.2">
      <c r="A42" s="38" t="s">
        <v>2429</v>
      </c>
      <c r="B42" s="39"/>
      <c r="C42" s="63"/>
      <c r="D42" s="63"/>
      <c r="E42" s="63"/>
      <c r="F42" s="63"/>
      <c r="G42" s="63"/>
      <c r="I42" s="63"/>
      <c r="K42" s="63"/>
    </row>
    <row r="43" spans="1:13" s="40" customFormat="1" x14ac:dyDescent="0.2">
      <c r="A43" s="41" t="s">
        <v>2416</v>
      </c>
      <c r="B43" s="39"/>
      <c r="C43" s="76">
        <f>C13+C24+C35</f>
        <v>472425</v>
      </c>
      <c r="D43" s="76"/>
      <c r="E43" s="76">
        <f>E13+E24+E35</f>
        <v>458850</v>
      </c>
      <c r="F43" s="63"/>
      <c r="G43" s="76">
        <f t="shared" ref="G43" si="3">G13+G24+G35</f>
        <v>464100</v>
      </c>
      <c r="H43" s="63"/>
      <c r="I43" s="76">
        <f t="shared" ref="I43:K43" si="4">I13+I24+I35</f>
        <v>443581</v>
      </c>
      <c r="K43" s="76">
        <f t="shared" si="4"/>
        <v>443581</v>
      </c>
      <c r="M43" s="78"/>
    </row>
    <row r="44" spans="1:13" s="40" customFormat="1" x14ac:dyDescent="0.2">
      <c r="A44" s="41" t="s">
        <v>2417</v>
      </c>
      <c r="B44" s="39"/>
      <c r="C44" s="1061">
        <v>6.71</v>
      </c>
      <c r="D44" s="63"/>
      <c r="E44" s="1061">
        <v>6.62</v>
      </c>
      <c r="F44" s="63"/>
      <c r="G44" s="1061">
        <v>7.65</v>
      </c>
      <c r="I44" s="1061">
        <v>7.83</v>
      </c>
      <c r="K44" s="1061">
        <v>7.83</v>
      </c>
      <c r="M44" s="1410"/>
    </row>
    <row r="45" spans="1:13" s="40" customFormat="1" x14ac:dyDescent="0.2">
      <c r="A45" s="41" t="s">
        <v>2418</v>
      </c>
      <c r="B45" s="39"/>
      <c r="C45" s="1061">
        <v>4.01</v>
      </c>
      <c r="D45" s="63"/>
      <c r="E45" s="1061">
        <v>4.0199999999999996</v>
      </c>
      <c r="F45" s="63"/>
      <c r="G45" s="1061">
        <v>4.3600000000000003</v>
      </c>
      <c r="I45" s="1061">
        <v>4.2699999999999996</v>
      </c>
      <c r="K45" s="1061">
        <v>4.2699999999999996</v>
      </c>
      <c r="M45" s="1410"/>
    </row>
    <row r="46" spans="1:13" s="40" customFormat="1" x14ac:dyDescent="0.2">
      <c r="A46" s="41" t="s">
        <v>2419</v>
      </c>
      <c r="B46" s="39"/>
      <c r="C46" s="253">
        <v>11.17</v>
      </c>
      <c r="D46" s="63"/>
      <c r="E46" s="253">
        <v>10.8</v>
      </c>
      <c r="F46" s="63"/>
      <c r="G46" s="253">
        <v>12.12</v>
      </c>
      <c r="I46" s="253">
        <v>12.22</v>
      </c>
      <c r="K46" s="253">
        <v>12.22</v>
      </c>
      <c r="M46" s="965"/>
    </row>
    <row r="47" spans="1:13" s="40" customFormat="1" x14ac:dyDescent="0.2">
      <c r="A47" s="41" t="s">
        <v>2420</v>
      </c>
      <c r="B47" s="39"/>
      <c r="C47" s="253">
        <v>6.67</v>
      </c>
      <c r="D47" s="63"/>
      <c r="E47" s="253">
        <v>6.55</v>
      </c>
      <c r="F47" s="63"/>
      <c r="G47" s="253">
        <v>6.85</v>
      </c>
      <c r="I47" s="253">
        <v>6.66</v>
      </c>
      <c r="K47" s="253">
        <v>6.66</v>
      </c>
      <c r="M47" s="965"/>
    </row>
    <row r="48" spans="1:13" s="40" customFormat="1" x14ac:dyDescent="0.2">
      <c r="A48" s="41" t="s">
        <v>2430</v>
      </c>
      <c r="B48" s="39"/>
      <c r="C48" s="100">
        <f>C47/C46</f>
        <v>0.59713518352730532</v>
      </c>
      <c r="D48" s="63"/>
      <c r="E48" s="100">
        <f>E47/E46</f>
        <v>0.6064814814814814</v>
      </c>
      <c r="F48" s="100"/>
      <c r="G48" s="100">
        <f>G47/G46</f>
        <v>0.56518151815181517</v>
      </c>
      <c r="I48" s="100">
        <f t="shared" ref="I48:K48" si="5">I47/I46</f>
        <v>0.5450081833060556</v>
      </c>
      <c r="K48" s="100">
        <f t="shared" si="5"/>
        <v>0.5450081833060556</v>
      </c>
      <c r="M48" s="1411"/>
    </row>
    <row r="49" spans="1:13" s="40" customFormat="1" x14ac:dyDescent="0.2">
      <c r="A49" s="90"/>
      <c r="B49" s="39"/>
      <c r="C49" s="63"/>
      <c r="D49" s="63"/>
      <c r="E49" s="63"/>
      <c r="F49" s="63"/>
    </row>
    <row r="50" spans="1:13" s="40" customFormat="1" x14ac:dyDescent="0.2">
      <c r="A50" s="35" t="s">
        <v>194</v>
      </c>
      <c r="B50" s="39"/>
      <c r="C50" s="63"/>
      <c r="D50" s="63"/>
      <c r="E50" s="63"/>
      <c r="F50" s="63"/>
    </row>
    <row r="51" spans="1:13" s="40" customFormat="1" x14ac:dyDescent="0.2">
      <c r="A51" s="35" t="s">
        <v>413</v>
      </c>
      <c r="B51" s="39"/>
      <c r="C51" s="76"/>
      <c r="D51" s="63"/>
      <c r="E51" s="76"/>
      <c r="F51" s="63"/>
      <c r="G51" s="77"/>
      <c r="I51" s="76"/>
      <c r="K51" s="77"/>
      <c r="M51" s="77"/>
    </row>
    <row r="52" spans="1:13" s="40" customFormat="1" x14ac:dyDescent="0.2">
      <c r="A52" s="41" t="s">
        <v>332</v>
      </c>
      <c r="B52" s="39"/>
      <c r="C52" s="76">
        <v>5001</v>
      </c>
      <c r="D52" s="63"/>
      <c r="E52" s="76">
        <v>4867</v>
      </c>
      <c r="F52" s="63"/>
      <c r="G52" s="77"/>
      <c r="I52" s="76">
        <v>4886</v>
      </c>
      <c r="K52" s="77"/>
      <c r="M52" s="76"/>
    </row>
    <row r="53" spans="1:13" s="40" customFormat="1" x14ac:dyDescent="0.2">
      <c r="A53" s="41" t="s">
        <v>256</v>
      </c>
      <c r="B53" s="39"/>
      <c r="C53" s="400">
        <f>C52/C67</f>
        <v>0.45554745855347056</v>
      </c>
      <c r="D53" s="63"/>
      <c r="E53" s="100">
        <f>E52/E67</f>
        <v>0.44309905316824472</v>
      </c>
      <c r="F53" s="63"/>
      <c r="G53" s="101"/>
      <c r="I53" s="100">
        <f>I52/I67</f>
        <v>0.4399423734918062</v>
      </c>
      <c r="K53" s="101"/>
      <c r="M53" s="100"/>
    </row>
    <row r="54" spans="1:13" s="40" customFormat="1" x14ac:dyDescent="0.2">
      <c r="A54" s="41" t="s">
        <v>257</v>
      </c>
      <c r="B54" s="39"/>
      <c r="C54" s="76">
        <v>1968</v>
      </c>
      <c r="D54" s="63"/>
      <c r="E54" s="76">
        <v>1990</v>
      </c>
      <c r="F54" s="63"/>
      <c r="G54" s="77"/>
      <c r="I54" s="76">
        <v>2051</v>
      </c>
      <c r="K54" s="77"/>
      <c r="M54" s="76"/>
    </row>
    <row r="55" spans="1:13" s="40" customFormat="1" x14ac:dyDescent="0.2">
      <c r="A55" s="41" t="s">
        <v>258</v>
      </c>
      <c r="B55" s="39"/>
      <c r="C55" s="100">
        <f>C54/C67</f>
        <v>0.17926762616141373</v>
      </c>
      <c r="D55" s="63"/>
      <c r="E55" s="100">
        <f>E54/E67</f>
        <v>0.1811726147123088</v>
      </c>
      <c r="F55" s="63"/>
      <c r="G55" s="101"/>
      <c r="I55" s="100">
        <f>I54/I67</f>
        <v>0.18467495047721952</v>
      </c>
      <c r="K55" s="101"/>
      <c r="M55" s="100"/>
    </row>
    <row r="56" spans="1:13" s="40" customFormat="1" x14ac:dyDescent="0.2">
      <c r="A56" s="41" t="s">
        <v>259</v>
      </c>
      <c r="B56" s="39"/>
      <c r="C56" s="76">
        <f>C52+C54</f>
        <v>6969</v>
      </c>
      <c r="D56" s="63"/>
      <c r="E56" s="76">
        <f>E52+E54</f>
        <v>6857</v>
      </c>
      <c r="F56" s="63"/>
      <c r="G56" s="77"/>
      <c r="I56" s="76">
        <f>I52+I54</f>
        <v>6937</v>
      </c>
      <c r="K56" s="77"/>
      <c r="M56" s="76"/>
    </row>
    <row r="57" spans="1:13" s="40" customFormat="1" x14ac:dyDescent="0.2">
      <c r="A57" s="41" t="s">
        <v>260</v>
      </c>
      <c r="B57" s="39"/>
      <c r="C57" s="100">
        <f>C56/C67</f>
        <v>0.63481508471488435</v>
      </c>
      <c r="D57" s="63"/>
      <c r="E57" s="100">
        <f>E56/E67</f>
        <v>0.62427166788055355</v>
      </c>
      <c r="F57" s="63"/>
      <c r="G57" s="101"/>
      <c r="I57" s="100">
        <f>I56/I67</f>
        <v>0.62461732396902581</v>
      </c>
      <c r="K57" s="101"/>
      <c r="M57" s="100"/>
    </row>
    <row r="58" spans="1:13" s="40" customFormat="1" x14ac:dyDescent="0.2">
      <c r="A58" s="35"/>
      <c r="B58" s="39"/>
      <c r="C58" s="63"/>
      <c r="D58" s="63"/>
      <c r="E58" s="63"/>
      <c r="F58" s="63"/>
      <c r="I58" s="100"/>
    </row>
    <row r="59" spans="1:13" s="37" customFormat="1" x14ac:dyDescent="0.2">
      <c r="A59" s="35" t="s">
        <v>195</v>
      </c>
      <c r="B59" s="36"/>
      <c r="C59" s="87"/>
      <c r="D59" s="87"/>
      <c r="E59" s="87"/>
      <c r="F59" s="87"/>
    </row>
    <row r="60" spans="1:13" s="40" customFormat="1" x14ac:dyDescent="0.2">
      <c r="A60" s="38" t="s">
        <v>2431</v>
      </c>
      <c r="B60" s="39"/>
      <c r="C60" s="63"/>
      <c r="D60" s="63"/>
      <c r="E60" s="63"/>
      <c r="F60" s="63"/>
    </row>
    <row r="61" spans="1:13" s="40" customFormat="1" x14ac:dyDescent="0.2">
      <c r="A61" s="41" t="s">
        <v>2432</v>
      </c>
      <c r="B61" s="39"/>
      <c r="C61" s="76">
        <v>5268</v>
      </c>
      <c r="D61" s="63"/>
      <c r="E61" s="76">
        <v>5242</v>
      </c>
      <c r="F61" s="63"/>
      <c r="G61" s="76">
        <v>5409</v>
      </c>
      <c r="I61" s="76">
        <v>5217</v>
      </c>
      <c r="K61" s="76">
        <v>5449</v>
      </c>
      <c r="M61" s="76"/>
    </row>
    <row r="62" spans="1:13" s="40" customFormat="1" x14ac:dyDescent="0.2">
      <c r="A62" s="41" t="s">
        <v>2425</v>
      </c>
      <c r="B62" s="39"/>
      <c r="C62" s="76">
        <v>3834</v>
      </c>
      <c r="D62" s="63"/>
      <c r="E62" s="76">
        <v>3812</v>
      </c>
      <c r="F62" s="63"/>
      <c r="G62" s="76">
        <f>3942+10+4</f>
        <v>3956</v>
      </c>
      <c r="I62" s="76">
        <v>3922</v>
      </c>
      <c r="K62" s="76">
        <v>3981</v>
      </c>
      <c r="M62" s="76"/>
    </row>
    <row r="63" spans="1:13" s="40" customFormat="1" x14ac:dyDescent="0.2">
      <c r="A63" s="41" t="s">
        <v>2433</v>
      </c>
      <c r="B63" s="39"/>
      <c r="C63" s="76">
        <v>293</v>
      </c>
      <c r="D63" s="63"/>
      <c r="E63" s="76">
        <v>317</v>
      </c>
      <c r="F63" s="63"/>
      <c r="G63" s="76">
        <f>300+25+1+2</f>
        <v>328</v>
      </c>
      <c r="I63" s="76">
        <v>325</v>
      </c>
      <c r="K63" s="76">
        <v>330</v>
      </c>
      <c r="M63" s="76"/>
    </row>
    <row r="64" spans="1:13" s="40" customFormat="1" x14ac:dyDescent="0.2">
      <c r="A64" s="41" t="s">
        <v>2434</v>
      </c>
      <c r="B64" s="39"/>
      <c r="C64" s="76">
        <v>30</v>
      </c>
      <c r="D64" s="63"/>
      <c r="E64" s="76">
        <v>36</v>
      </c>
      <c r="F64" s="63"/>
      <c r="G64" s="76">
        <f>36+11</f>
        <v>47</v>
      </c>
      <c r="I64" s="76">
        <v>41</v>
      </c>
      <c r="K64" s="76">
        <v>41</v>
      </c>
      <c r="M64" s="76"/>
    </row>
    <row r="65" spans="1:17" s="40" customFormat="1" x14ac:dyDescent="0.2">
      <c r="A65" s="41" t="s">
        <v>2435</v>
      </c>
      <c r="B65" s="39"/>
      <c r="C65" s="76">
        <v>950</v>
      </c>
      <c r="D65" s="63"/>
      <c r="E65" s="76">
        <v>949</v>
      </c>
      <c r="F65" s="63"/>
      <c r="G65" s="76">
        <f>994.5+4</f>
        <v>998.5</v>
      </c>
      <c r="I65" s="76">
        <v>948</v>
      </c>
      <c r="K65" s="76">
        <v>1051</v>
      </c>
      <c r="M65" s="76"/>
    </row>
    <row r="66" spans="1:17" s="40" customFormat="1" x14ac:dyDescent="0.2">
      <c r="A66" s="41" t="s">
        <v>2436</v>
      </c>
      <c r="B66" s="39"/>
      <c r="C66" s="76">
        <v>603</v>
      </c>
      <c r="D66" s="63"/>
      <c r="E66" s="76">
        <v>628</v>
      </c>
      <c r="F66" s="63"/>
      <c r="G66" s="76">
        <f>783+13+20</f>
        <v>816</v>
      </c>
      <c r="I66" s="76">
        <v>653</v>
      </c>
      <c r="K66" s="76">
        <v>794</v>
      </c>
      <c r="M66" s="76"/>
    </row>
    <row r="67" spans="1:17" s="40" customFormat="1" x14ac:dyDescent="0.2">
      <c r="A67" s="38" t="s">
        <v>198</v>
      </c>
      <c r="B67" s="39"/>
      <c r="C67" s="76">
        <f>SUM(C61:C66)</f>
        <v>10978</v>
      </c>
      <c r="D67" s="63"/>
      <c r="E67" s="76">
        <f>SUM(E61:E66)</f>
        <v>10984</v>
      </c>
      <c r="F67" s="63"/>
      <c r="G67" s="76">
        <f>SUM(G61:G66)</f>
        <v>11554.5</v>
      </c>
      <c r="I67" s="76">
        <f>SUM(I61:I66)</f>
        <v>11106</v>
      </c>
      <c r="K67" s="76">
        <f>SUM(K61:K66)</f>
        <v>11646</v>
      </c>
      <c r="M67" s="76"/>
    </row>
    <row r="68" spans="1:17" s="37" customFormat="1" x14ac:dyDescent="0.2">
      <c r="A68" s="35"/>
      <c r="B68" s="36"/>
      <c r="C68" s="89"/>
      <c r="M68" s="89"/>
    </row>
    <row r="69" spans="1:17" s="48" customFormat="1" x14ac:dyDescent="0.2">
      <c r="A69" s="46"/>
      <c r="B69" s="47"/>
    </row>
    <row r="70" spans="1:17" s="48" customFormat="1" x14ac:dyDescent="0.2">
      <c r="A70" s="49" t="s">
        <v>200</v>
      </c>
      <c r="B70" s="50"/>
      <c r="C70" s="51"/>
      <c r="D70" s="52"/>
      <c r="E70" s="53"/>
      <c r="F70" s="52"/>
      <c r="G70" s="53"/>
      <c r="H70" s="52"/>
      <c r="I70" s="53"/>
      <c r="J70" s="52"/>
      <c r="K70" s="53"/>
      <c r="L70" s="52"/>
      <c r="M70" s="51"/>
      <c r="N70" s="52"/>
    </row>
    <row r="71" spans="1:17" s="48" customFormat="1" ht="27.75" customHeight="1" x14ac:dyDescent="0.2">
      <c r="A71" s="1738" t="s">
        <v>2437</v>
      </c>
      <c r="B71" s="1736"/>
      <c r="C71" s="1737"/>
      <c r="D71" s="1736"/>
      <c r="E71" s="1737"/>
      <c r="F71" s="1736"/>
      <c r="G71" s="1737"/>
      <c r="H71" s="1736"/>
      <c r="I71" s="1737"/>
      <c r="J71" s="1736"/>
      <c r="K71" s="1737"/>
      <c r="L71" s="1736"/>
      <c r="M71" s="1737"/>
      <c r="N71" s="1736"/>
    </row>
    <row r="72" spans="1:17" x14ac:dyDescent="0.2">
      <c r="A72" s="1738"/>
      <c r="B72" s="1736"/>
      <c r="C72" s="1737"/>
      <c r="D72" s="1736"/>
      <c r="E72" s="1737"/>
      <c r="F72" s="1736"/>
      <c r="G72" s="1737"/>
      <c r="H72" s="1736"/>
      <c r="I72" s="1737"/>
      <c r="J72" s="1736"/>
      <c r="K72" s="1737"/>
      <c r="L72" s="74"/>
      <c r="M72" s="74"/>
      <c r="N72" s="74"/>
      <c r="O72" s="54"/>
      <c r="P72" s="54"/>
      <c r="Q72" s="951"/>
    </row>
    <row r="73" spans="1:17" ht="27.75" customHeight="1" x14ac:dyDescent="0.2">
      <c r="A73" s="1735"/>
      <c r="B73" s="1736"/>
      <c r="C73" s="1737"/>
      <c r="D73" s="1736"/>
      <c r="E73" s="1737"/>
      <c r="F73" s="1736"/>
      <c r="G73" s="1737"/>
      <c r="H73" s="1736"/>
      <c r="I73" s="1737"/>
      <c r="J73" s="1736"/>
      <c r="K73" s="1737"/>
      <c r="L73" s="1736"/>
      <c r="M73" s="1737"/>
      <c r="N73" s="1736"/>
      <c r="O73" s="54"/>
      <c r="P73" s="54"/>
    </row>
    <row r="74" spans="1:17" ht="27.75" customHeight="1" x14ac:dyDescent="0.2">
      <c r="A74" s="1735"/>
      <c r="B74" s="1736"/>
      <c r="C74" s="1737"/>
      <c r="D74" s="1736"/>
      <c r="E74" s="1737"/>
      <c r="F74" s="1736"/>
      <c r="G74" s="1737"/>
      <c r="H74" s="1736"/>
      <c r="I74" s="1737"/>
      <c r="J74" s="1736"/>
      <c r="K74" s="1737"/>
      <c r="L74" s="1736"/>
      <c r="M74" s="1737"/>
      <c r="N74" s="1736"/>
      <c r="O74" s="54"/>
      <c r="P74" s="54"/>
    </row>
    <row r="75" spans="1:17" ht="27.75" customHeight="1" x14ac:dyDescent="0.2">
      <c r="A75" s="1735"/>
      <c r="B75" s="1736"/>
      <c r="C75" s="1737"/>
      <c r="D75" s="1736"/>
      <c r="E75" s="1737"/>
      <c r="F75" s="1736"/>
      <c r="G75" s="1737"/>
      <c r="H75" s="1736"/>
      <c r="I75" s="1737"/>
      <c r="J75" s="1736"/>
      <c r="K75" s="1737"/>
      <c r="L75" s="1736"/>
      <c r="M75" s="1737"/>
      <c r="N75" s="1736"/>
      <c r="O75" s="54"/>
      <c r="P75" s="54"/>
    </row>
    <row r="76" spans="1:17" ht="27.75" customHeight="1" x14ac:dyDescent="0.2">
      <c r="A76" s="1735"/>
      <c r="B76" s="1736"/>
      <c r="C76" s="1737"/>
      <c r="D76" s="1736"/>
      <c r="E76" s="1737"/>
      <c r="F76" s="1736"/>
      <c r="G76" s="1737"/>
      <c r="H76" s="1736"/>
      <c r="I76" s="1737"/>
      <c r="J76" s="1736"/>
      <c r="K76" s="1737"/>
      <c r="L76" s="1736"/>
      <c r="M76" s="1737"/>
      <c r="N76" s="1736"/>
      <c r="O76" s="54"/>
      <c r="P76" s="54"/>
    </row>
    <row r="77" spans="1:17" ht="27.75" customHeight="1" x14ac:dyDescent="0.2">
      <c r="A77" s="1735"/>
      <c r="B77" s="1736"/>
      <c r="C77" s="1737"/>
      <c r="D77" s="1736"/>
      <c r="E77" s="1737"/>
      <c r="F77" s="1736"/>
      <c r="G77" s="1737"/>
      <c r="H77" s="1736"/>
      <c r="I77" s="1737"/>
      <c r="J77" s="1736"/>
      <c r="K77" s="1737"/>
      <c r="L77" s="1736"/>
      <c r="M77" s="1737"/>
      <c r="N77" s="1736"/>
      <c r="O77" s="54"/>
      <c r="P77" s="54"/>
    </row>
    <row r="78" spans="1:17" ht="27.75" customHeight="1" x14ac:dyDescent="0.2">
      <c r="A78" s="1735"/>
      <c r="B78" s="1736"/>
      <c r="C78" s="1737"/>
      <c r="D78" s="1736"/>
      <c r="E78" s="1737"/>
      <c r="F78" s="1736"/>
      <c r="G78" s="1737"/>
      <c r="H78" s="1736"/>
      <c r="I78" s="1737"/>
      <c r="J78" s="1736"/>
      <c r="K78" s="1737"/>
      <c r="L78" s="1736"/>
      <c r="M78" s="1737"/>
      <c r="N78" s="1736"/>
      <c r="O78" s="54"/>
      <c r="P78" s="54"/>
    </row>
    <row r="79" spans="1:17" ht="27.75" customHeight="1" x14ac:dyDescent="0.2">
      <c r="A79" s="1735"/>
      <c r="B79" s="1736"/>
      <c r="C79" s="1737"/>
      <c r="D79" s="1736"/>
      <c r="E79" s="1737"/>
      <c r="F79" s="1736"/>
      <c r="G79" s="1737"/>
      <c r="H79" s="1736"/>
      <c r="I79" s="1737"/>
      <c r="J79" s="1736"/>
      <c r="K79" s="1737"/>
      <c r="L79" s="1736"/>
      <c r="M79" s="1737"/>
      <c r="N79" s="1736"/>
      <c r="O79" s="54"/>
      <c r="P79" s="54"/>
    </row>
    <row r="80" spans="1:17" ht="27.75" customHeight="1" x14ac:dyDescent="0.2">
      <c r="A80" s="1735"/>
      <c r="B80" s="1736"/>
      <c r="C80" s="1737"/>
      <c r="D80" s="1736"/>
      <c r="E80" s="1737"/>
      <c r="F80" s="1736"/>
      <c r="G80" s="1737"/>
      <c r="H80" s="1736"/>
      <c r="I80" s="1737"/>
      <c r="J80" s="1736"/>
      <c r="K80" s="1737"/>
      <c r="L80" s="1736"/>
      <c r="M80" s="1737"/>
      <c r="N80" s="1736"/>
      <c r="O80" s="54"/>
      <c r="P80" s="54"/>
    </row>
    <row r="81" spans="1:17" ht="27.75" customHeight="1" x14ac:dyDescent="0.2">
      <c r="A81" s="1735"/>
      <c r="B81" s="1736"/>
      <c r="C81" s="1737"/>
      <c r="D81" s="1736"/>
      <c r="E81" s="1737"/>
      <c r="F81" s="1736"/>
      <c r="G81" s="1737"/>
      <c r="H81" s="1736"/>
      <c r="I81" s="1737"/>
      <c r="J81" s="1736"/>
      <c r="K81" s="1737"/>
      <c r="L81" s="1736"/>
      <c r="M81" s="1737"/>
      <c r="N81" s="1736"/>
      <c r="O81" s="54"/>
      <c r="P81" s="54"/>
    </row>
    <row r="82" spans="1:17" x14ac:dyDescent="0.2">
      <c r="A82" s="55"/>
      <c r="B82" s="54"/>
      <c r="C82" s="56"/>
      <c r="D82" s="54"/>
      <c r="E82" s="56"/>
      <c r="F82" s="54"/>
      <c r="G82" s="56"/>
      <c r="H82" s="54"/>
      <c r="I82" s="56"/>
      <c r="J82" s="54"/>
      <c r="K82" s="56"/>
      <c r="L82" s="54"/>
      <c r="M82" s="56"/>
      <c r="N82" s="54"/>
      <c r="O82" s="54"/>
      <c r="P82" s="54"/>
    </row>
    <row r="83" spans="1:17" x14ac:dyDescent="0.2">
      <c r="A83" s="55"/>
      <c r="B83" s="54"/>
      <c r="C83" s="54"/>
      <c r="D83" s="54"/>
      <c r="E83" s="54"/>
      <c r="F83" s="54"/>
      <c r="G83" s="54"/>
      <c r="H83" s="54"/>
      <c r="I83" s="54"/>
      <c r="J83" s="54"/>
      <c r="K83" s="54"/>
      <c r="L83" s="54"/>
      <c r="M83" s="54"/>
      <c r="N83" s="54"/>
      <c r="O83" s="54"/>
      <c r="P83" s="54"/>
    </row>
    <row r="84" spans="1:17" x14ac:dyDescent="0.2">
      <c r="A84" s="55"/>
      <c r="B84" s="54"/>
      <c r="C84" s="56"/>
      <c r="D84" s="54"/>
      <c r="E84" s="56"/>
      <c r="F84" s="54"/>
      <c r="G84" s="56"/>
      <c r="H84" s="54"/>
      <c r="I84" s="56"/>
      <c r="J84" s="54"/>
      <c r="K84" s="56"/>
      <c r="L84" s="54"/>
      <c r="M84" s="56"/>
      <c r="N84" s="54"/>
      <c r="O84" s="54"/>
      <c r="P84" s="54"/>
    </row>
    <row r="85" spans="1:17" x14ac:dyDescent="0.2">
      <c r="A85" s="55"/>
      <c r="B85" s="54"/>
      <c r="C85" s="54"/>
      <c r="D85" s="54"/>
      <c r="E85" s="54"/>
      <c r="F85" s="54"/>
      <c r="G85" s="54"/>
      <c r="H85" s="54"/>
      <c r="I85" s="54"/>
      <c r="J85" s="54"/>
      <c r="K85" s="54"/>
      <c r="L85" s="54"/>
      <c r="M85" s="54"/>
      <c r="N85" s="54"/>
      <c r="O85" s="54"/>
      <c r="P85" s="54"/>
    </row>
    <row r="86" spans="1:17" x14ac:dyDescent="0.2">
      <c r="A86" s="55"/>
      <c r="B86" s="54"/>
      <c r="C86" s="56"/>
      <c r="D86" s="54"/>
      <c r="E86" s="56"/>
      <c r="F86" s="54"/>
      <c r="G86" s="56"/>
      <c r="H86" s="54"/>
      <c r="I86" s="56"/>
      <c r="J86" s="54"/>
      <c r="K86" s="56"/>
      <c r="L86" s="54"/>
      <c r="M86" s="56"/>
      <c r="N86" s="54"/>
      <c r="O86" s="54"/>
      <c r="P86" s="54"/>
    </row>
    <row r="87" spans="1:17" x14ac:dyDescent="0.2">
      <c r="A87" s="55"/>
      <c r="B87" s="54"/>
      <c r="C87" s="54"/>
      <c r="D87" s="54"/>
      <c r="E87" s="54"/>
      <c r="F87" s="54"/>
      <c r="G87" s="54"/>
      <c r="H87" s="54"/>
      <c r="I87" s="54"/>
      <c r="J87" s="54"/>
      <c r="K87" s="54"/>
      <c r="L87" s="54"/>
      <c r="M87" s="54"/>
      <c r="N87" s="54"/>
      <c r="O87" s="54"/>
      <c r="P87" s="54"/>
    </row>
    <row r="88" spans="1:17" x14ac:dyDescent="0.2">
      <c r="A88" s="55"/>
      <c r="B88" s="54"/>
      <c r="C88" s="54"/>
      <c r="D88" s="54"/>
      <c r="E88" s="54"/>
      <c r="F88" s="54"/>
      <c r="G88" s="54"/>
      <c r="H88" s="54"/>
      <c r="I88" s="54"/>
      <c r="J88" s="54"/>
      <c r="K88" s="54"/>
      <c r="L88" s="54"/>
      <c r="M88" s="54"/>
      <c r="N88" s="54"/>
      <c r="O88" s="54"/>
      <c r="P88" s="54"/>
    </row>
    <row r="89" spans="1:17" x14ac:dyDescent="0.2">
      <c r="A89" s="55"/>
      <c r="B89" s="54"/>
      <c r="C89" s="54"/>
      <c r="D89" s="54"/>
      <c r="E89" s="54"/>
      <c r="F89" s="54"/>
      <c r="G89" s="54"/>
      <c r="H89" s="54"/>
      <c r="I89" s="54"/>
      <c r="J89" s="54"/>
      <c r="K89" s="54"/>
      <c r="L89" s="54"/>
      <c r="M89" s="54"/>
      <c r="N89" s="54"/>
      <c r="O89" s="54"/>
      <c r="P89" s="54"/>
      <c r="Q89" s="57"/>
    </row>
    <row r="90" spans="1:17" x14ac:dyDescent="0.2">
      <c r="B90" s="25"/>
      <c r="C90" s="25"/>
      <c r="D90" s="25"/>
      <c r="E90" s="58"/>
      <c r="F90" s="58"/>
      <c r="G90" s="58"/>
      <c r="H90" s="58"/>
    </row>
    <row r="91" spans="1:17" x14ac:dyDescent="0.2">
      <c r="B91" s="25"/>
      <c r="C91" s="25"/>
      <c r="D91" s="25"/>
      <c r="E91" s="58"/>
      <c r="F91" s="58"/>
      <c r="G91" s="58"/>
      <c r="H91" s="58"/>
    </row>
    <row r="92" spans="1:17" x14ac:dyDescent="0.2">
      <c r="B92" s="25"/>
      <c r="C92" s="25"/>
      <c r="D92" s="25"/>
      <c r="E92" s="58"/>
      <c r="F92" s="58"/>
      <c r="G92" s="58"/>
      <c r="H92" s="58"/>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c r="C118" s="25"/>
      <c r="D118" s="25"/>
      <c r="E118" s="58"/>
      <c r="F118" s="58"/>
      <c r="G118" s="58"/>
      <c r="H118" s="58"/>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sheetData>
  <mergeCells count="12">
    <mergeCell ref="A77:N77"/>
    <mergeCell ref="A78:N78"/>
    <mergeCell ref="A79:N79"/>
    <mergeCell ref="A80:N80"/>
    <mergeCell ref="A81:N81"/>
    <mergeCell ref="A75:N75"/>
    <mergeCell ref="A76:N76"/>
    <mergeCell ref="K2:K3"/>
    <mergeCell ref="A71:N71"/>
    <mergeCell ref="A72:K72"/>
    <mergeCell ref="A73:N73"/>
    <mergeCell ref="A74:N74"/>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D6 K3"/>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3">
    <pageSetUpPr fitToPage="1"/>
  </sheetPr>
  <dimension ref="A1:Q9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2303</v>
      </c>
      <c r="C3" s="10" t="s">
        <v>2304</v>
      </c>
      <c r="D3" s="6"/>
      <c r="E3" s="11"/>
      <c r="F3" s="9"/>
      <c r="G3" s="11"/>
      <c r="H3" s="6"/>
      <c r="I3" s="11"/>
      <c r="J3" s="6"/>
      <c r="K3" s="1734"/>
      <c r="L3" s="6"/>
      <c r="M3" s="11"/>
      <c r="N3" s="6"/>
    </row>
    <row r="4" spans="1:16" s="4" customFormat="1" ht="15.75" x14ac:dyDescent="0.25">
      <c r="A4" s="1" t="s">
        <v>180</v>
      </c>
      <c r="B4" s="10" t="s">
        <v>2438</v>
      </c>
      <c r="C4" s="10" t="s">
        <v>2439</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row>
    <row r="11" spans="1:16" s="40" customFormat="1" x14ac:dyDescent="0.2">
      <c r="A11" s="38" t="s">
        <v>254</v>
      </c>
      <c r="B11" s="39"/>
    </row>
    <row r="12" spans="1:16" s="40" customFormat="1" x14ac:dyDescent="0.2">
      <c r="A12" s="41" t="s">
        <v>332</v>
      </c>
      <c r="B12" s="39"/>
      <c r="C12" s="76">
        <v>784</v>
      </c>
      <c r="E12" s="76">
        <v>833</v>
      </c>
      <c r="G12" s="77"/>
      <c r="I12" s="78">
        <v>860</v>
      </c>
      <c r="K12" s="77"/>
      <c r="M12" s="77"/>
    </row>
    <row r="13" spans="1:16" s="40" customFormat="1" x14ac:dyDescent="0.2">
      <c r="A13" s="41" t="s">
        <v>256</v>
      </c>
      <c r="B13" s="39"/>
      <c r="C13" s="100">
        <v>0.25600000000000001</v>
      </c>
      <c r="E13" s="100">
        <v>0.26400000000000001</v>
      </c>
      <c r="G13" s="101"/>
      <c r="I13" s="100">
        <v>0.27200000000000002</v>
      </c>
      <c r="K13" s="101"/>
      <c r="M13" s="101"/>
    </row>
    <row r="14" spans="1:16" s="40" customFormat="1" x14ac:dyDescent="0.2">
      <c r="A14" s="41" t="s">
        <v>257</v>
      </c>
      <c r="B14" s="39"/>
      <c r="C14" s="76">
        <v>254</v>
      </c>
      <c r="E14" s="76">
        <v>284</v>
      </c>
      <c r="G14" s="77"/>
      <c r="I14" s="78">
        <v>294</v>
      </c>
      <c r="K14" s="77"/>
      <c r="M14" s="77"/>
    </row>
    <row r="15" spans="1:16" s="40" customFormat="1" x14ac:dyDescent="0.2">
      <c r="A15" s="41" t="s">
        <v>258</v>
      </c>
      <c r="B15" s="39"/>
      <c r="C15" s="100">
        <v>8.3000000000000004E-2</v>
      </c>
      <c r="E15" s="100">
        <v>0.09</v>
      </c>
      <c r="G15" s="101"/>
      <c r="I15" s="100">
        <v>9.2999999999999999E-2</v>
      </c>
      <c r="K15" s="101"/>
      <c r="M15" s="101"/>
    </row>
    <row r="16" spans="1:16" s="40" customFormat="1" x14ac:dyDescent="0.2">
      <c r="A16" s="41" t="s">
        <v>259</v>
      </c>
      <c r="B16" s="39"/>
      <c r="C16" s="104">
        <f>C12+C14</f>
        <v>1038</v>
      </c>
      <c r="E16" s="104">
        <f t="shared" ref="E16" si="0">E12+E14</f>
        <v>1117</v>
      </c>
      <c r="G16" s="104">
        <f t="shared" ref="G16" si="1">G12+G14</f>
        <v>0</v>
      </c>
      <c r="I16" s="75">
        <f t="shared" ref="I16" si="2">I12+I14</f>
        <v>1154</v>
      </c>
      <c r="K16" s="77"/>
      <c r="M16" s="77"/>
    </row>
    <row r="17" spans="1:17" s="40" customFormat="1" x14ac:dyDescent="0.2">
      <c r="A17" s="41" t="s">
        <v>260</v>
      </c>
      <c r="B17" s="39"/>
      <c r="C17" s="400">
        <f>C13+C15</f>
        <v>0.33900000000000002</v>
      </c>
      <c r="E17" s="400">
        <f>E13+E15</f>
        <v>0.35399999999999998</v>
      </c>
      <c r="G17" s="101"/>
      <c r="I17" s="100">
        <f>I13+I15</f>
        <v>0.36499999999999999</v>
      </c>
      <c r="K17" s="101"/>
      <c r="M17" s="101"/>
    </row>
    <row r="18" spans="1:17" s="40" customFormat="1" x14ac:dyDescent="0.2">
      <c r="A18" s="41"/>
      <c r="B18" s="39"/>
      <c r="M18" s="102"/>
    </row>
    <row r="19" spans="1:17" s="37" customFormat="1" x14ac:dyDescent="0.2">
      <c r="A19" s="35" t="s">
        <v>195</v>
      </c>
      <c r="B19" s="36"/>
    </row>
    <row r="20" spans="1:17" s="40" customFormat="1" x14ac:dyDescent="0.2">
      <c r="A20" s="41" t="s">
        <v>196</v>
      </c>
      <c r="B20" s="39"/>
    </row>
    <row r="21" spans="1:17" s="40" customFormat="1" x14ac:dyDescent="0.2">
      <c r="A21" s="90" t="s">
        <v>197</v>
      </c>
      <c r="B21" s="39"/>
      <c r="C21" s="42">
        <v>242</v>
      </c>
      <c r="E21" s="62">
        <v>254</v>
      </c>
      <c r="G21" s="42">
        <v>242</v>
      </c>
      <c r="I21" s="42">
        <v>237</v>
      </c>
      <c r="K21" s="42">
        <v>240</v>
      </c>
      <c r="M21" s="42"/>
    </row>
    <row r="22" spans="1:17" s="40" customFormat="1" x14ac:dyDescent="0.2">
      <c r="A22" s="90" t="s">
        <v>261</v>
      </c>
      <c r="B22" s="39"/>
      <c r="C22" s="42">
        <v>29</v>
      </c>
      <c r="E22" s="62">
        <v>31</v>
      </c>
      <c r="G22" s="42">
        <v>31</v>
      </c>
      <c r="I22" s="42">
        <v>67</v>
      </c>
      <c r="K22" s="42">
        <v>68</v>
      </c>
      <c r="M22" s="42"/>
    </row>
    <row r="23" spans="1:17" s="40" customFormat="1" x14ac:dyDescent="0.2">
      <c r="A23" s="90" t="s">
        <v>262</v>
      </c>
      <c r="B23" s="39"/>
      <c r="C23" s="42">
        <v>2</v>
      </c>
      <c r="E23" s="62">
        <v>1</v>
      </c>
      <c r="G23" s="42">
        <v>2</v>
      </c>
      <c r="I23" s="42">
        <v>2</v>
      </c>
      <c r="K23" s="42">
        <v>2</v>
      </c>
      <c r="M23" s="42"/>
    </row>
    <row r="24" spans="1:17" s="40" customFormat="1" x14ac:dyDescent="0.2">
      <c r="A24" s="90" t="s">
        <v>198</v>
      </c>
      <c r="B24" s="39"/>
      <c r="C24" s="42">
        <f>SUM(C21:C23)</f>
        <v>273</v>
      </c>
      <c r="E24" s="42">
        <f>SUM(E21:E23)</f>
        <v>286</v>
      </c>
      <c r="G24" s="42">
        <f>SUM(G21:G23)</f>
        <v>275</v>
      </c>
      <c r="I24" s="42">
        <f>SUM(I21:I23)</f>
        <v>306</v>
      </c>
      <c r="K24" s="42">
        <f>SUM(K21:K23)</f>
        <v>310</v>
      </c>
      <c r="M24" s="42"/>
    </row>
    <row r="25" spans="1:17" s="40" customFormat="1" x14ac:dyDescent="0.2">
      <c r="A25" s="41" t="s">
        <v>199</v>
      </c>
      <c r="B25" s="39"/>
    </row>
    <row r="26" spans="1:17" s="40" customFormat="1" x14ac:dyDescent="0.2">
      <c r="A26" s="90" t="s">
        <v>2440</v>
      </c>
      <c r="B26" s="39"/>
      <c r="C26" s="42">
        <v>36</v>
      </c>
      <c r="E26" s="62">
        <v>35</v>
      </c>
      <c r="G26" s="42">
        <v>41</v>
      </c>
      <c r="I26" s="42">
        <v>44</v>
      </c>
      <c r="K26" s="42">
        <v>45</v>
      </c>
      <c r="M26" s="42"/>
    </row>
    <row r="27" spans="1:17" s="40" customFormat="1" x14ac:dyDescent="0.2">
      <c r="A27" s="90" t="s">
        <v>263</v>
      </c>
      <c r="B27" s="39"/>
      <c r="C27" s="42">
        <v>237</v>
      </c>
      <c r="E27" s="62">
        <v>251</v>
      </c>
      <c r="G27" s="42">
        <v>234</v>
      </c>
      <c r="I27" s="42">
        <v>262</v>
      </c>
      <c r="K27" s="42">
        <v>265</v>
      </c>
      <c r="M27" s="42"/>
    </row>
    <row r="28" spans="1:17" s="40" customFormat="1" x14ac:dyDescent="0.2">
      <c r="A28" s="41" t="s">
        <v>198</v>
      </c>
      <c r="B28" s="39"/>
      <c r="C28" s="42">
        <f>SUM(C26:C27)</f>
        <v>273</v>
      </c>
      <c r="E28" s="42">
        <f>SUM(E26:E27)</f>
        <v>286</v>
      </c>
      <c r="G28" s="42">
        <f>SUM(G26:G27)</f>
        <v>275</v>
      </c>
      <c r="I28" s="42">
        <f>SUM(I26:I27)</f>
        <v>306</v>
      </c>
      <c r="K28" s="42">
        <f>SUM(K26:K27)</f>
        <v>310</v>
      </c>
      <c r="M28" s="42"/>
    </row>
    <row r="29" spans="1:17" s="37" customFormat="1" x14ac:dyDescent="0.2">
      <c r="A29" s="35"/>
      <c r="B29" s="36"/>
    </row>
    <row r="30" spans="1:17" s="48" customFormat="1" x14ac:dyDescent="0.2">
      <c r="A30" s="46"/>
      <c r="B30" s="47"/>
    </row>
    <row r="31" spans="1:17" s="48" customFormat="1" x14ac:dyDescent="0.2">
      <c r="A31" s="49" t="s">
        <v>200</v>
      </c>
      <c r="B31" s="50"/>
      <c r="C31" s="51"/>
      <c r="D31" s="52"/>
      <c r="E31" s="53"/>
      <c r="F31" s="52"/>
      <c r="G31" s="53"/>
      <c r="H31" s="52"/>
      <c r="I31" s="53"/>
      <c r="J31" s="52"/>
      <c r="K31" s="53"/>
      <c r="L31" s="52"/>
      <c r="M31" s="51"/>
      <c r="N31" s="52"/>
    </row>
    <row r="32" spans="1:17" ht="40.5" customHeight="1" x14ac:dyDescent="0.2">
      <c r="A32" s="1834" t="s">
        <v>218</v>
      </c>
      <c r="B32" s="1835"/>
      <c r="C32" s="1835"/>
      <c r="D32" s="1835"/>
      <c r="E32" s="1835"/>
      <c r="F32" s="1835"/>
      <c r="G32" s="1835"/>
      <c r="H32" s="1835"/>
      <c r="I32" s="1835"/>
      <c r="J32" s="1835"/>
      <c r="K32" s="1835"/>
      <c r="L32" s="1835"/>
      <c r="M32" s="1835"/>
      <c r="N32" s="1835"/>
      <c r="O32" s="54"/>
      <c r="P32" s="54"/>
      <c r="Q32" s="951"/>
    </row>
    <row r="33" spans="1:16" ht="27.75" customHeight="1" x14ac:dyDescent="0.2">
      <c r="A33" s="1735"/>
      <c r="B33" s="1736"/>
      <c r="C33" s="1737"/>
      <c r="D33" s="1736"/>
      <c r="E33" s="1737"/>
      <c r="F33" s="1736"/>
      <c r="G33" s="1737"/>
      <c r="H33" s="1736"/>
      <c r="I33" s="1737"/>
      <c r="J33" s="1736"/>
      <c r="K33" s="1737"/>
      <c r="L33" s="1736"/>
      <c r="M33" s="1737"/>
      <c r="N33" s="1736"/>
      <c r="O33" s="54"/>
      <c r="P33" s="54"/>
    </row>
    <row r="34" spans="1:16" ht="27.75" customHeight="1" x14ac:dyDescent="0.2">
      <c r="A34" s="1735"/>
      <c r="B34" s="1736"/>
      <c r="C34" s="1737"/>
      <c r="D34" s="1736"/>
      <c r="E34" s="1737"/>
      <c r="F34" s="1736"/>
      <c r="G34" s="1737"/>
      <c r="H34" s="1736"/>
      <c r="I34" s="1737"/>
      <c r="J34" s="1736"/>
      <c r="K34" s="1737"/>
      <c r="L34" s="1736"/>
      <c r="M34" s="1737"/>
      <c r="N34" s="1736"/>
      <c r="O34" s="54"/>
      <c r="P34" s="54"/>
    </row>
    <row r="35" spans="1:16" ht="27.75" customHeight="1" x14ac:dyDescent="0.2">
      <c r="A35" s="1735"/>
      <c r="B35" s="1736"/>
      <c r="C35" s="1737"/>
      <c r="D35" s="1736"/>
      <c r="E35" s="1737"/>
      <c r="F35" s="1736"/>
      <c r="G35" s="1737"/>
      <c r="H35" s="1736"/>
      <c r="I35" s="1737"/>
      <c r="J35" s="1736"/>
      <c r="K35" s="1737"/>
      <c r="L35" s="1736"/>
      <c r="M35" s="1737"/>
      <c r="N35" s="1736"/>
      <c r="O35" s="54"/>
      <c r="P35" s="54"/>
    </row>
    <row r="36" spans="1:16" ht="27.75" customHeight="1" x14ac:dyDescent="0.2">
      <c r="A36" s="1735"/>
      <c r="B36" s="1736"/>
      <c r="C36" s="1737"/>
      <c r="D36" s="1736"/>
      <c r="E36" s="1737"/>
      <c r="F36" s="1736"/>
      <c r="G36" s="1737"/>
      <c r="H36" s="1736"/>
      <c r="I36" s="1737"/>
      <c r="J36" s="1736"/>
      <c r="K36" s="1737"/>
      <c r="L36" s="1736"/>
      <c r="M36" s="1737"/>
      <c r="N36" s="1736"/>
      <c r="O36" s="54"/>
      <c r="P36" s="54"/>
    </row>
    <row r="37" spans="1:16" ht="27.75" customHeight="1" x14ac:dyDescent="0.2">
      <c r="A37" s="1735"/>
      <c r="B37" s="1736"/>
      <c r="C37" s="1737"/>
      <c r="D37" s="1736"/>
      <c r="E37" s="1737"/>
      <c r="F37" s="1736"/>
      <c r="G37" s="1737"/>
      <c r="H37" s="1736"/>
      <c r="I37" s="1737"/>
      <c r="J37" s="1736"/>
      <c r="K37" s="1737"/>
      <c r="L37" s="1736"/>
      <c r="M37" s="1737"/>
      <c r="N37" s="1736"/>
      <c r="O37" s="54"/>
      <c r="P37" s="54"/>
    </row>
    <row r="38" spans="1:16" ht="27.75" customHeight="1" x14ac:dyDescent="0.2">
      <c r="A38" s="1735"/>
      <c r="B38" s="1736"/>
      <c r="C38" s="1737"/>
      <c r="D38" s="1736"/>
      <c r="E38" s="1737"/>
      <c r="F38" s="1736"/>
      <c r="G38" s="1737"/>
      <c r="H38" s="1736"/>
      <c r="I38" s="1737"/>
      <c r="J38" s="1736"/>
      <c r="K38" s="1737"/>
      <c r="L38" s="1736"/>
      <c r="M38" s="1737"/>
      <c r="N38" s="1736"/>
      <c r="O38" s="54"/>
      <c r="P38" s="54"/>
    </row>
    <row r="39" spans="1:16" ht="27.75" customHeight="1" x14ac:dyDescent="0.2">
      <c r="A39" s="1735"/>
      <c r="B39" s="1736"/>
      <c r="C39" s="1737"/>
      <c r="D39" s="1736"/>
      <c r="E39" s="1737"/>
      <c r="F39" s="1736"/>
      <c r="G39" s="1737"/>
      <c r="H39" s="1736"/>
      <c r="I39" s="1737"/>
      <c r="J39" s="1736"/>
      <c r="K39" s="1737"/>
      <c r="L39" s="1736"/>
      <c r="M39" s="1737"/>
      <c r="N39" s="1736"/>
      <c r="O39" s="54"/>
      <c r="P39" s="54"/>
    </row>
    <row r="40" spans="1:16" ht="27.75" customHeight="1" x14ac:dyDescent="0.2">
      <c r="A40" s="1735"/>
      <c r="B40" s="1736"/>
      <c r="C40" s="1737"/>
      <c r="D40" s="1736"/>
      <c r="E40" s="1737"/>
      <c r="F40" s="1736"/>
      <c r="G40" s="1737"/>
      <c r="H40" s="1736"/>
      <c r="I40" s="1737"/>
      <c r="J40" s="1736"/>
      <c r="K40" s="1737"/>
      <c r="L40" s="1736"/>
      <c r="M40" s="1737"/>
      <c r="N40" s="1736"/>
      <c r="O40" s="54"/>
      <c r="P40" s="54"/>
    </row>
    <row r="41" spans="1:16" ht="27.75" customHeight="1" x14ac:dyDescent="0.2">
      <c r="A41" s="1735"/>
      <c r="B41" s="1736"/>
      <c r="C41" s="1737"/>
      <c r="D41" s="1736"/>
      <c r="E41" s="1737"/>
      <c r="F41" s="1736"/>
      <c r="G41" s="1737"/>
      <c r="H41" s="1736"/>
      <c r="I41" s="1737"/>
      <c r="J41" s="1736"/>
      <c r="K41" s="1737"/>
      <c r="L41" s="1736"/>
      <c r="M41" s="1737"/>
      <c r="N41" s="1736"/>
      <c r="O41" s="54"/>
      <c r="P41" s="54"/>
    </row>
    <row r="42" spans="1:16" x14ac:dyDescent="0.2">
      <c r="A42" s="55"/>
      <c r="B42" s="54"/>
      <c r="C42" s="56"/>
      <c r="D42" s="54"/>
      <c r="E42" s="56"/>
      <c r="F42" s="54"/>
      <c r="G42" s="56"/>
      <c r="H42" s="54"/>
      <c r="I42" s="56"/>
      <c r="J42" s="54"/>
      <c r="K42" s="56"/>
      <c r="L42" s="54"/>
      <c r="M42" s="56"/>
      <c r="N42" s="54"/>
      <c r="O42" s="54"/>
      <c r="P42" s="54"/>
    </row>
    <row r="43" spans="1:16" x14ac:dyDescent="0.2">
      <c r="A43" s="55"/>
      <c r="B43" s="54"/>
      <c r="C43" s="107"/>
      <c r="D43" s="54"/>
      <c r="E43" s="107"/>
      <c r="F43" s="54"/>
      <c r="G43" s="107"/>
      <c r="H43" s="54"/>
      <c r="I43" s="107"/>
      <c r="J43" s="54"/>
      <c r="K43" s="107"/>
      <c r="L43" s="54"/>
      <c r="M43" s="107"/>
      <c r="N43" s="54"/>
      <c r="O43" s="54"/>
      <c r="P43" s="54"/>
    </row>
    <row r="44" spans="1:16" x14ac:dyDescent="0.2">
      <c r="A44" s="55"/>
      <c r="B44" s="54"/>
      <c r="C44" s="56"/>
      <c r="D44" s="54"/>
      <c r="E44" s="56"/>
      <c r="F44" s="54"/>
      <c r="G44" s="56"/>
      <c r="H44" s="54"/>
      <c r="I44" s="56"/>
      <c r="J44" s="54"/>
      <c r="K44" s="56"/>
      <c r="L44" s="54"/>
      <c r="M44" s="56"/>
      <c r="N44" s="54"/>
      <c r="O44" s="54"/>
      <c r="P44" s="54"/>
    </row>
    <row r="45" spans="1:16" x14ac:dyDescent="0.2">
      <c r="A45" s="55"/>
      <c r="B45" s="54"/>
      <c r="C45" s="54"/>
      <c r="D45" s="54"/>
      <c r="E45" s="54"/>
      <c r="F45" s="54"/>
      <c r="G45" s="54"/>
      <c r="H45" s="54"/>
      <c r="I45" s="54"/>
      <c r="J45" s="54"/>
      <c r="K45" s="54"/>
      <c r="L45" s="54"/>
      <c r="M45" s="54"/>
      <c r="N45" s="54"/>
      <c r="O45" s="54"/>
      <c r="P45" s="54"/>
    </row>
    <row r="46" spans="1:16" x14ac:dyDescent="0.2">
      <c r="A46" s="55"/>
      <c r="B46" s="54"/>
      <c r="C46" s="56"/>
      <c r="D46" s="54"/>
      <c r="E46" s="56"/>
      <c r="F46" s="54"/>
      <c r="G46" s="56"/>
      <c r="H46" s="54"/>
      <c r="I46" s="56"/>
      <c r="J46" s="54"/>
      <c r="K46" s="56"/>
      <c r="L46" s="54"/>
      <c r="M46" s="56"/>
      <c r="N46" s="54"/>
      <c r="O46" s="54"/>
      <c r="P46" s="54"/>
    </row>
    <row r="47" spans="1:16" x14ac:dyDescent="0.2">
      <c r="A47" s="55"/>
      <c r="B47" s="54"/>
      <c r="C47" s="54"/>
      <c r="D47" s="54"/>
      <c r="E47" s="54"/>
      <c r="F47" s="54"/>
      <c r="G47" s="54"/>
      <c r="H47" s="54"/>
      <c r="I47" s="54"/>
      <c r="J47" s="54"/>
      <c r="K47" s="54"/>
      <c r="L47" s="54"/>
      <c r="M47" s="54"/>
      <c r="N47" s="54"/>
      <c r="O47" s="54"/>
      <c r="P47" s="54"/>
    </row>
    <row r="48" spans="1:16" x14ac:dyDescent="0.2">
      <c r="A48" s="55"/>
      <c r="B48" s="54"/>
      <c r="C48" s="54"/>
      <c r="D48" s="54"/>
      <c r="E48" s="54"/>
      <c r="F48" s="54"/>
      <c r="G48" s="54"/>
      <c r="H48" s="54"/>
      <c r="I48" s="54"/>
      <c r="J48" s="54"/>
      <c r="K48" s="54"/>
      <c r="L48" s="54"/>
      <c r="M48" s="54"/>
      <c r="N48" s="54"/>
      <c r="O48" s="54"/>
      <c r="P48" s="54"/>
    </row>
    <row r="49" spans="1:17" x14ac:dyDescent="0.2">
      <c r="A49" s="55"/>
      <c r="B49" s="54"/>
      <c r="C49" s="54"/>
      <c r="D49" s="54"/>
      <c r="E49" s="54"/>
      <c r="F49" s="54"/>
      <c r="G49" s="54"/>
      <c r="H49" s="54"/>
      <c r="I49" s="54"/>
      <c r="J49" s="54"/>
      <c r="K49" s="54"/>
      <c r="L49" s="54"/>
      <c r="M49" s="54"/>
      <c r="N49" s="54"/>
      <c r="O49" s="54"/>
      <c r="P49" s="54"/>
      <c r="Q49" s="57"/>
    </row>
    <row r="50" spans="1:17" x14ac:dyDescent="0.2">
      <c r="B50" s="25"/>
      <c r="C50" s="25"/>
      <c r="D50" s="25"/>
      <c r="E50" s="58"/>
      <c r="F50" s="58"/>
      <c r="G50" s="58"/>
      <c r="H50" s="58"/>
    </row>
    <row r="51" spans="1:17" x14ac:dyDescent="0.2">
      <c r="B51" s="25"/>
      <c r="C51" s="25"/>
      <c r="D51" s="25"/>
      <c r="E51" s="58"/>
      <c r="F51" s="58"/>
      <c r="G51" s="58"/>
      <c r="H51" s="58"/>
    </row>
    <row r="52" spans="1:17" x14ac:dyDescent="0.2">
      <c r="B52" s="25"/>
      <c r="C52" s="25"/>
      <c r="D52" s="25"/>
      <c r="E52" s="58"/>
      <c r="F52" s="58"/>
      <c r="G52" s="58"/>
      <c r="H52" s="58"/>
    </row>
    <row r="53" spans="1:17" x14ac:dyDescent="0.2">
      <c r="B53" s="25"/>
      <c r="C53" s="25"/>
      <c r="D53" s="25"/>
      <c r="E53" s="58"/>
      <c r="F53" s="58"/>
      <c r="G53" s="58"/>
      <c r="H53" s="58"/>
    </row>
    <row r="54" spans="1:17" x14ac:dyDescent="0.2">
      <c r="B54" s="25"/>
      <c r="C54" s="25"/>
      <c r="D54" s="25"/>
      <c r="E54" s="58"/>
      <c r="F54" s="58"/>
      <c r="G54" s="58"/>
      <c r="H54" s="58"/>
    </row>
    <row r="55" spans="1:17" x14ac:dyDescent="0.2">
      <c r="B55" s="25"/>
      <c r="C55" s="25"/>
      <c r="D55" s="25"/>
      <c r="E55" s="58"/>
      <c r="F55" s="58"/>
      <c r="G55" s="58"/>
      <c r="H55" s="58"/>
    </row>
    <row r="56" spans="1:17" x14ac:dyDescent="0.2">
      <c r="B56" s="25"/>
      <c r="C56" s="58"/>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58"/>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row r="94" spans="2:2" x14ac:dyDescent="0.2">
      <c r="B94" s="25"/>
    </row>
    <row r="95" spans="2:2" x14ac:dyDescent="0.2">
      <c r="B95" s="25"/>
    </row>
  </sheetData>
  <mergeCells count="11">
    <mergeCell ref="A38:N38"/>
    <mergeCell ref="A39:N39"/>
    <mergeCell ref="A40:N40"/>
    <mergeCell ref="A41:N41"/>
    <mergeCell ref="K2:K3"/>
    <mergeCell ref="A32:N32"/>
    <mergeCell ref="A33:N33"/>
    <mergeCell ref="A34:N34"/>
    <mergeCell ref="A35:N35"/>
    <mergeCell ref="A36:N36"/>
    <mergeCell ref="A37:N37"/>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4" fitToHeight="99" pageOrder="overThenDown" orientation="portrait" blackAndWhite="1"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4"/>
  <dimension ref="A1:Q156"/>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4.140625" style="60" bestFit="1" customWidth="1"/>
    <col min="11" max="11" width="13.7109375" style="59" customWidth="1"/>
    <col min="12" max="12" width="4.140625" style="60" bestFit="1" customWidth="1"/>
    <col min="13" max="13" width="13.7109375" style="59" hidden="1" customWidth="1"/>
    <col min="14" max="14" width="4.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269</v>
      </c>
      <c r="C4" s="10" t="s">
        <v>3</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c r="E10" s="87"/>
    </row>
    <row r="11" spans="1:16" s="37" customFormat="1" x14ac:dyDescent="0.2">
      <c r="A11" s="35" t="s">
        <v>2442</v>
      </c>
      <c r="B11" s="36"/>
      <c r="C11" s="87"/>
      <c r="D11" s="87"/>
      <c r="E11" s="87"/>
    </row>
    <row r="12" spans="1:16" s="40" customFormat="1" x14ac:dyDescent="0.2">
      <c r="A12" s="41" t="s">
        <v>2443</v>
      </c>
      <c r="B12" s="39"/>
      <c r="C12" s="63"/>
      <c r="D12" s="63"/>
      <c r="E12" s="63"/>
    </row>
    <row r="13" spans="1:16" s="40" customFormat="1" x14ac:dyDescent="0.2">
      <c r="A13" s="90" t="s">
        <v>2444</v>
      </c>
      <c r="B13" s="39"/>
      <c r="C13" s="1412">
        <v>5</v>
      </c>
      <c r="D13" s="63"/>
      <c r="E13" s="1412">
        <v>5</v>
      </c>
      <c r="G13" s="1413">
        <v>5</v>
      </c>
      <c r="I13" s="1413">
        <v>5</v>
      </c>
      <c r="K13" s="1413">
        <v>5</v>
      </c>
      <c r="M13" s="62"/>
    </row>
    <row r="14" spans="1:16" s="40" customFormat="1" x14ac:dyDescent="0.2">
      <c r="A14" s="90" t="s">
        <v>2445</v>
      </c>
      <c r="B14" s="39"/>
      <c r="C14" s="1412">
        <v>4</v>
      </c>
      <c r="D14" s="63"/>
      <c r="E14" s="1412">
        <v>4</v>
      </c>
      <c r="G14" s="1413">
        <v>4</v>
      </c>
      <c r="I14" s="1413">
        <v>4</v>
      </c>
      <c r="K14" s="1413">
        <v>4</v>
      </c>
      <c r="M14" s="62"/>
    </row>
    <row r="15" spans="1:16" s="40" customFormat="1" x14ac:dyDescent="0.2">
      <c r="A15" s="90" t="s">
        <v>2446</v>
      </c>
      <c r="B15" s="39"/>
      <c r="C15" s="1412">
        <v>145</v>
      </c>
      <c r="D15" s="63"/>
      <c r="E15" s="1412">
        <v>156</v>
      </c>
      <c r="G15" s="1413">
        <v>145</v>
      </c>
      <c r="I15" s="1413">
        <v>160</v>
      </c>
      <c r="K15" s="1413">
        <v>162</v>
      </c>
      <c r="M15" s="62"/>
    </row>
    <row r="16" spans="1:16" s="40" customFormat="1" x14ac:dyDescent="0.2">
      <c r="A16" s="90" t="s">
        <v>2447</v>
      </c>
      <c r="B16" s="39"/>
      <c r="C16" s="1412">
        <v>42</v>
      </c>
      <c r="D16" s="63"/>
      <c r="E16" s="1412">
        <v>39</v>
      </c>
      <c r="G16" s="1413">
        <v>37</v>
      </c>
      <c r="I16" s="1413">
        <v>36</v>
      </c>
      <c r="K16" s="1413">
        <v>36</v>
      </c>
      <c r="M16" s="62"/>
    </row>
    <row r="17" spans="1:13" s="40" customFormat="1" x14ac:dyDescent="0.2">
      <c r="A17" s="90" t="s">
        <v>2448</v>
      </c>
      <c r="B17" s="39"/>
      <c r="C17" s="1412">
        <v>5</v>
      </c>
      <c r="D17" s="63"/>
      <c r="E17" s="1412">
        <v>9</v>
      </c>
      <c r="G17" s="1413">
        <v>9</v>
      </c>
      <c r="I17" s="1413">
        <v>9</v>
      </c>
      <c r="K17" s="1413">
        <v>9</v>
      </c>
      <c r="M17" s="62"/>
    </row>
    <row r="18" spans="1:13" s="40" customFormat="1" x14ac:dyDescent="0.2">
      <c r="A18" s="90" t="s">
        <v>2449</v>
      </c>
      <c r="B18" s="39"/>
      <c r="C18" s="1412">
        <v>33</v>
      </c>
      <c r="D18" s="63"/>
      <c r="E18" s="1412">
        <v>38</v>
      </c>
      <c r="G18" s="1413">
        <v>33</v>
      </c>
      <c r="I18" s="1413">
        <v>38</v>
      </c>
      <c r="K18" s="1413">
        <v>38</v>
      </c>
      <c r="M18" s="62"/>
    </row>
    <row r="19" spans="1:13" s="40" customFormat="1" x14ac:dyDescent="0.2">
      <c r="A19" s="41" t="s">
        <v>2450</v>
      </c>
      <c r="B19" s="39"/>
      <c r="C19" s="1412"/>
      <c r="E19" s="1412"/>
      <c r="M19" s="63"/>
    </row>
    <row r="20" spans="1:13" s="40" customFormat="1" x14ac:dyDescent="0.2">
      <c r="A20" s="90" t="s">
        <v>2451</v>
      </c>
      <c r="B20" s="39"/>
      <c r="C20" s="1413">
        <v>275</v>
      </c>
      <c r="E20" s="1413">
        <v>241</v>
      </c>
      <c r="G20" s="1413">
        <v>250</v>
      </c>
      <c r="I20" s="1413">
        <v>250</v>
      </c>
      <c r="K20" s="1413">
        <v>250</v>
      </c>
      <c r="M20" s="62"/>
    </row>
    <row r="21" spans="1:13" s="40" customFormat="1" x14ac:dyDescent="0.2">
      <c r="A21" s="90" t="s">
        <v>2444</v>
      </c>
      <c r="B21" s="39"/>
      <c r="C21" s="1413">
        <v>56</v>
      </c>
      <c r="D21" s="118"/>
      <c r="E21" s="1413">
        <v>60</v>
      </c>
      <c r="G21" s="1413">
        <v>95</v>
      </c>
      <c r="I21" s="1413">
        <v>80</v>
      </c>
      <c r="K21" s="1413">
        <v>85</v>
      </c>
      <c r="M21" s="62"/>
    </row>
    <row r="22" spans="1:13" s="40" customFormat="1" x14ac:dyDescent="0.2">
      <c r="A22" s="90" t="s">
        <v>2445</v>
      </c>
      <c r="B22" s="39"/>
      <c r="C22" s="1413">
        <v>40</v>
      </c>
      <c r="D22" s="118"/>
      <c r="E22" s="1413">
        <v>35</v>
      </c>
      <c r="G22" s="1413">
        <v>66</v>
      </c>
      <c r="I22" s="1413">
        <v>32</v>
      </c>
      <c r="K22" s="1413">
        <v>35</v>
      </c>
      <c r="M22" s="62"/>
    </row>
    <row r="23" spans="1:13" s="40" customFormat="1" x14ac:dyDescent="0.2">
      <c r="A23" s="90" t="s">
        <v>2452</v>
      </c>
      <c r="B23" s="39"/>
      <c r="C23" s="1413">
        <v>129</v>
      </c>
      <c r="D23" s="118"/>
      <c r="E23" s="1413">
        <v>106</v>
      </c>
      <c r="G23" s="1413">
        <v>130</v>
      </c>
      <c r="I23" s="1413">
        <v>120</v>
      </c>
      <c r="K23" s="1413">
        <v>120</v>
      </c>
      <c r="M23" s="62"/>
    </row>
    <row r="24" spans="1:13" s="40" customFormat="1" x14ac:dyDescent="0.2">
      <c r="A24" s="90" t="s">
        <v>2447</v>
      </c>
      <c r="B24" s="39"/>
      <c r="C24" s="1413">
        <v>50</v>
      </c>
      <c r="D24" s="118"/>
      <c r="E24" s="1413">
        <v>50</v>
      </c>
      <c r="G24" s="1413">
        <v>50</v>
      </c>
      <c r="I24" s="1413">
        <v>50</v>
      </c>
      <c r="K24" s="1413">
        <v>50</v>
      </c>
      <c r="M24" s="62"/>
    </row>
    <row r="25" spans="1:13" s="40" customFormat="1" x14ac:dyDescent="0.2">
      <c r="A25" s="90" t="s">
        <v>2453</v>
      </c>
      <c r="B25" s="39"/>
      <c r="C25" s="1413">
        <v>12</v>
      </c>
      <c r="D25" s="118"/>
      <c r="E25" s="1413">
        <v>12</v>
      </c>
      <c r="G25" s="1413">
        <v>12</v>
      </c>
      <c r="I25" s="1413">
        <v>12</v>
      </c>
      <c r="K25" s="1413">
        <v>12</v>
      </c>
      <c r="M25" s="62"/>
    </row>
    <row r="26" spans="1:13" s="40" customFormat="1" x14ac:dyDescent="0.2">
      <c r="A26" s="41" t="s">
        <v>2454</v>
      </c>
      <c r="B26" s="39"/>
      <c r="C26" s="1412"/>
      <c r="E26" s="1412"/>
    </row>
    <row r="27" spans="1:13" s="40" customFormat="1" x14ac:dyDescent="0.2">
      <c r="A27" s="90" t="s">
        <v>2455</v>
      </c>
      <c r="B27" s="39"/>
      <c r="C27" s="1413">
        <v>14887</v>
      </c>
      <c r="E27" s="1413">
        <v>13897</v>
      </c>
      <c r="G27" s="1413">
        <v>16078</v>
      </c>
      <c r="I27" s="1413">
        <v>14453</v>
      </c>
      <c r="K27" s="1413">
        <v>15009</v>
      </c>
      <c r="M27" s="62"/>
    </row>
    <row r="28" spans="1:13" s="40" customFormat="1" x14ac:dyDescent="0.2">
      <c r="A28" s="90" t="s">
        <v>2456</v>
      </c>
      <c r="B28" s="39"/>
      <c r="C28" s="1413">
        <v>77</v>
      </c>
      <c r="E28" s="1413">
        <v>84</v>
      </c>
      <c r="G28" s="1413">
        <v>83</v>
      </c>
      <c r="I28" s="1413">
        <v>87</v>
      </c>
      <c r="K28" s="1413">
        <v>91</v>
      </c>
      <c r="M28" s="62"/>
    </row>
    <row r="29" spans="1:13" s="40" customFormat="1" x14ac:dyDescent="0.2">
      <c r="A29" s="90" t="s">
        <v>2457</v>
      </c>
      <c r="B29" s="39"/>
      <c r="C29" s="1413">
        <v>6469</v>
      </c>
      <c r="E29" s="1413">
        <v>4217</v>
      </c>
      <c r="G29" s="1413">
        <v>6987</v>
      </c>
      <c r="I29" s="1413">
        <v>4386</v>
      </c>
      <c r="K29" s="1413">
        <v>4554</v>
      </c>
      <c r="M29" s="62"/>
    </row>
    <row r="30" spans="1:13" s="40" customFormat="1" x14ac:dyDescent="0.2">
      <c r="A30" s="90" t="s">
        <v>2458</v>
      </c>
      <c r="B30" s="39"/>
      <c r="C30" s="1413">
        <v>1010</v>
      </c>
      <c r="E30" s="1413">
        <v>758</v>
      </c>
      <c r="G30" s="1413">
        <v>1091</v>
      </c>
      <c r="I30" s="1413">
        <v>788</v>
      </c>
      <c r="K30" s="1413">
        <v>819</v>
      </c>
      <c r="M30" s="62"/>
    </row>
    <row r="31" spans="1:13" s="40" customFormat="1" x14ac:dyDescent="0.2">
      <c r="A31" s="90" t="s">
        <v>2459</v>
      </c>
      <c r="B31" s="39"/>
      <c r="C31" s="1413">
        <v>7662</v>
      </c>
      <c r="E31" s="1413">
        <v>6514</v>
      </c>
      <c r="G31" s="1413">
        <v>8275</v>
      </c>
      <c r="I31" s="1413">
        <v>6775</v>
      </c>
      <c r="K31" s="1413">
        <v>7035</v>
      </c>
      <c r="M31" s="62"/>
    </row>
    <row r="32" spans="1:13" s="40" customFormat="1" x14ac:dyDescent="0.2">
      <c r="A32" s="90" t="s">
        <v>2460</v>
      </c>
      <c r="B32" s="39"/>
      <c r="C32" s="1413">
        <v>93302</v>
      </c>
      <c r="E32" s="1413">
        <v>94798</v>
      </c>
      <c r="G32" s="1413">
        <v>100766</v>
      </c>
      <c r="I32" s="1413">
        <v>98590</v>
      </c>
      <c r="K32" s="1413">
        <v>102382</v>
      </c>
      <c r="M32" s="62"/>
    </row>
    <row r="33" spans="1:13" s="40" customFormat="1" x14ac:dyDescent="0.2">
      <c r="A33" s="1414" t="s">
        <v>2461</v>
      </c>
      <c r="B33" s="39"/>
      <c r="C33" s="1412"/>
      <c r="E33" s="1412"/>
      <c r="M33" s="63"/>
    </row>
    <row r="34" spans="1:13" s="40" customFormat="1" x14ac:dyDescent="0.2">
      <c r="A34" s="90" t="s">
        <v>2462</v>
      </c>
      <c r="B34" s="39"/>
      <c r="C34" s="1413">
        <v>2748</v>
      </c>
      <c r="D34" s="118"/>
      <c r="E34" s="1413">
        <v>2350</v>
      </c>
      <c r="G34" s="1413">
        <v>2350</v>
      </c>
      <c r="I34" s="1413">
        <v>2350</v>
      </c>
      <c r="K34" s="1413">
        <v>2350</v>
      </c>
      <c r="M34" s="62"/>
    </row>
    <row r="35" spans="1:13" s="40" customFormat="1" x14ac:dyDescent="0.2">
      <c r="A35" s="90" t="s">
        <v>2463</v>
      </c>
      <c r="B35" s="39"/>
      <c r="C35" s="1413">
        <v>1130</v>
      </c>
      <c r="D35" s="118"/>
      <c r="E35" s="1413">
        <v>1200</v>
      </c>
      <c r="G35" s="1413">
        <v>1200</v>
      </c>
      <c r="I35" s="1413">
        <v>1200</v>
      </c>
      <c r="K35" s="1413">
        <v>1600</v>
      </c>
      <c r="M35" s="62"/>
    </row>
    <row r="36" spans="1:13" s="40" customFormat="1" x14ac:dyDescent="0.2">
      <c r="A36" s="90" t="s">
        <v>2464</v>
      </c>
      <c r="B36" s="39"/>
      <c r="C36" s="1413">
        <v>230</v>
      </c>
      <c r="D36" s="118"/>
      <c r="E36" s="1413">
        <v>230</v>
      </c>
      <c r="G36" s="1413">
        <v>230</v>
      </c>
      <c r="I36" s="1413">
        <v>230</v>
      </c>
      <c r="K36" s="1413">
        <v>230</v>
      </c>
      <c r="M36" s="62"/>
    </row>
    <row r="37" spans="1:13" s="40" customFormat="1" x14ac:dyDescent="0.2">
      <c r="A37" s="90" t="s">
        <v>2465</v>
      </c>
      <c r="B37" s="39"/>
      <c r="C37" s="1413">
        <v>450</v>
      </c>
      <c r="D37" s="118"/>
      <c r="E37" s="1413">
        <v>420</v>
      </c>
      <c r="G37" s="1413">
        <v>500</v>
      </c>
      <c r="I37" s="1413">
        <v>500</v>
      </c>
      <c r="K37" s="1413">
        <v>500</v>
      </c>
      <c r="M37" s="62"/>
    </row>
    <row r="38" spans="1:13" s="37" customFormat="1" x14ac:dyDescent="0.2">
      <c r="A38" s="35" t="s">
        <v>2466</v>
      </c>
      <c r="B38" s="36"/>
      <c r="C38" s="1415"/>
      <c r="D38" s="141"/>
      <c r="E38" s="1415"/>
      <c r="M38" s="88"/>
    </row>
    <row r="39" spans="1:13" s="40" customFormat="1" x14ac:dyDescent="0.2">
      <c r="A39" s="41" t="s">
        <v>2467</v>
      </c>
      <c r="B39" s="39"/>
      <c r="C39" s="1413">
        <v>38</v>
      </c>
      <c r="E39" s="1413">
        <v>38</v>
      </c>
      <c r="G39" s="1413">
        <v>38</v>
      </c>
      <c r="I39" s="1413">
        <v>38</v>
      </c>
      <c r="K39" s="1413">
        <v>38</v>
      </c>
      <c r="M39" s="62"/>
    </row>
    <row r="40" spans="1:13" s="40" customFormat="1" x14ac:dyDescent="0.2">
      <c r="A40" s="90" t="s">
        <v>2468</v>
      </c>
      <c r="B40" s="39"/>
      <c r="C40" s="1413">
        <v>564</v>
      </c>
      <c r="E40" s="1413">
        <v>564</v>
      </c>
      <c r="G40" s="1413">
        <v>564</v>
      </c>
      <c r="I40" s="1413">
        <v>564</v>
      </c>
      <c r="K40" s="1413">
        <v>564</v>
      </c>
      <c r="M40" s="62"/>
    </row>
    <row r="41" spans="1:13" s="40" customFormat="1" x14ac:dyDescent="0.2">
      <c r="A41" s="90" t="s">
        <v>2469</v>
      </c>
      <c r="B41" s="39"/>
      <c r="C41" s="1413">
        <v>2733</v>
      </c>
      <c r="E41" s="1413">
        <v>2722</v>
      </c>
      <c r="G41" s="1413">
        <v>2730</v>
      </c>
      <c r="I41" s="1413">
        <v>2718</v>
      </c>
      <c r="K41" s="1413">
        <v>2718</v>
      </c>
      <c r="M41" s="62"/>
    </row>
    <row r="42" spans="1:13" s="40" customFormat="1" x14ac:dyDescent="0.2">
      <c r="A42" s="41" t="s">
        <v>2470</v>
      </c>
      <c r="B42" s="39"/>
      <c r="C42" s="1412"/>
      <c r="E42" s="1412"/>
      <c r="M42" s="63"/>
    </row>
    <row r="43" spans="1:13" s="40" customFormat="1" x14ac:dyDescent="0.2">
      <c r="A43" s="90" t="s">
        <v>2471</v>
      </c>
      <c r="B43" s="39"/>
      <c r="C43" s="1413">
        <v>12</v>
      </c>
      <c r="D43" s="118"/>
      <c r="E43" s="1413">
        <v>15</v>
      </c>
      <c r="G43" s="1413">
        <v>15</v>
      </c>
      <c r="I43" s="1413">
        <v>15</v>
      </c>
      <c r="K43" s="1413">
        <v>15</v>
      </c>
      <c r="M43" s="62"/>
    </row>
    <row r="44" spans="1:13" s="40" customFormat="1" x14ac:dyDescent="0.2">
      <c r="A44" s="90" t="s">
        <v>2472</v>
      </c>
      <c r="B44" s="39"/>
      <c r="C44" s="1413">
        <v>38</v>
      </c>
      <c r="D44" s="118"/>
      <c r="E44" s="1413">
        <v>37</v>
      </c>
      <c r="G44" s="1413">
        <v>40</v>
      </c>
      <c r="I44" s="1413">
        <v>40</v>
      </c>
      <c r="K44" s="1413">
        <v>40</v>
      </c>
      <c r="M44" s="62"/>
    </row>
    <row r="45" spans="1:13" s="40" customFormat="1" x14ac:dyDescent="0.2">
      <c r="A45" s="90" t="s">
        <v>2473</v>
      </c>
      <c r="B45" s="39"/>
      <c r="C45" s="1413">
        <v>11</v>
      </c>
      <c r="D45" s="118"/>
      <c r="E45" s="1413">
        <v>22</v>
      </c>
      <c r="G45" s="1413">
        <v>17</v>
      </c>
      <c r="I45" s="1413">
        <v>20</v>
      </c>
      <c r="K45" s="1413">
        <v>20</v>
      </c>
      <c r="M45" s="62"/>
    </row>
    <row r="46" spans="1:13" s="40" customFormat="1" x14ac:dyDescent="0.2">
      <c r="A46" s="90" t="s">
        <v>2474</v>
      </c>
      <c r="B46" s="39"/>
      <c r="C46" s="1413">
        <v>26</v>
      </c>
      <c r="D46" s="118"/>
      <c r="E46" s="1413">
        <v>28</v>
      </c>
      <c r="G46" s="1413">
        <v>25</v>
      </c>
      <c r="I46" s="1413">
        <v>25</v>
      </c>
      <c r="K46" s="1413">
        <v>25</v>
      </c>
      <c r="M46" s="62"/>
    </row>
    <row r="47" spans="1:13" s="40" customFormat="1" x14ac:dyDescent="0.2">
      <c r="A47" s="90" t="s">
        <v>2475</v>
      </c>
      <c r="B47" s="39"/>
      <c r="C47" s="1413">
        <v>11</v>
      </c>
      <c r="D47" s="118"/>
      <c r="E47" s="1413">
        <v>16</v>
      </c>
      <c r="G47" s="1413">
        <v>15</v>
      </c>
      <c r="I47" s="1413">
        <v>15</v>
      </c>
      <c r="K47" s="1413">
        <v>15</v>
      </c>
      <c r="M47" s="62"/>
    </row>
    <row r="48" spans="1:13" s="40" customFormat="1" x14ac:dyDescent="0.2">
      <c r="A48" s="90" t="s">
        <v>2476</v>
      </c>
      <c r="B48" s="39"/>
      <c r="C48" s="1413">
        <v>30</v>
      </c>
      <c r="D48" s="118"/>
      <c r="E48" s="1413">
        <v>34</v>
      </c>
      <c r="G48" s="1413">
        <v>30</v>
      </c>
      <c r="I48" s="1413">
        <v>35</v>
      </c>
      <c r="K48" s="1413">
        <v>35</v>
      </c>
      <c r="M48" s="62"/>
    </row>
    <row r="49" spans="1:13" s="40" customFormat="1" x14ac:dyDescent="0.2">
      <c r="A49" s="90" t="s">
        <v>2477</v>
      </c>
      <c r="B49" s="39"/>
      <c r="C49" s="1413">
        <v>7</v>
      </c>
      <c r="D49" s="118"/>
      <c r="E49" s="1413">
        <v>15</v>
      </c>
      <c r="G49" s="1413">
        <v>30</v>
      </c>
      <c r="I49" s="1413">
        <v>15</v>
      </c>
      <c r="K49" s="1413">
        <v>15</v>
      </c>
      <c r="M49" s="62"/>
    </row>
    <row r="50" spans="1:13" s="40" customFormat="1" x14ac:dyDescent="0.2">
      <c r="A50" s="90" t="s">
        <v>2478</v>
      </c>
      <c r="B50" s="39"/>
      <c r="C50" s="1413">
        <v>19</v>
      </c>
      <c r="D50" s="118"/>
      <c r="E50" s="1413">
        <v>29</v>
      </c>
      <c r="G50" s="1413">
        <v>25</v>
      </c>
      <c r="I50" s="1413">
        <v>30</v>
      </c>
      <c r="K50" s="1413">
        <v>30</v>
      </c>
      <c r="M50" s="62"/>
    </row>
    <row r="51" spans="1:13" s="40" customFormat="1" x14ac:dyDescent="0.2">
      <c r="A51" s="90" t="s">
        <v>2479</v>
      </c>
      <c r="B51" s="39"/>
      <c r="C51" s="1413">
        <v>1</v>
      </c>
      <c r="D51" s="118"/>
      <c r="E51" s="1413">
        <v>1</v>
      </c>
      <c r="G51" s="1413">
        <v>2</v>
      </c>
      <c r="I51" s="1413">
        <v>2</v>
      </c>
      <c r="K51" s="1413">
        <v>2</v>
      </c>
      <c r="M51" s="62"/>
    </row>
    <row r="52" spans="1:13" s="40" customFormat="1" x14ac:dyDescent="0.2">
      <c r="A52" s="41" t="s">
        <v>2480</v>
      </c>
      <c r="B52" s="39"/>
      <c r="C52" s="1416"/>
      <c r="D52" s="118"/>
      <c r="E52" s="1416"/>
      <c r="M52" s="63"/>
    </row>
    <row r="53" spans="1:13" s="40" customFormat="1" x14ac:dyDescent="0.2">
      <c r="A53" s="90" t="s">
        <v>2481</v>
      </c>
      <c r="B53" s="39"/>
      <c r="C53" s="1413">
        <v>55</v>
      </c>
      <c r="D53" s="118"/>
      <c r="E53" s="1413">
        <v>52</v>
      </c>
      <c r="G53" s="1413">
        <v>60</v>
      </c>
      <c r="I53" s="1413">
        <v>60</v>
      </c>
      <c r="K53" s="1413">
        <v>60</v>
      </c>
      <c r="M53" s="62"/>
    </row>
    <row r="54" spans="1:13" s="40" customFormat="1" x14ac:dyDescent="0.2">
      <c r="A54" s="90" t="s">
        <v>2482</v>
      </c>
      <c r="B54" s="39"/>
      <c r="C54" s="1413">
        <v>76</v>
      </c>
      <c r="D54" s="118"/>
      <c r="E54" s="1413">
        <v>131</v>
      </c>
      <c r="G54" s="1413">
        <v>100</v>
      </c>
      <c r="I54" s="1413">
        <v>100</v>
      </c>
      <c r="K54" s="1413">
        <v>100</v>
      </c>
      <c r="M54" s="62"/>
    </row>
    <row r="55" spans="1:13" s="40" customFormat="1" x14ac:dyDescent="0.2">
      <c r="A55" s="90" t="s">
        <v>2483</v>
      </c>
      <c r="B55" s="39"/>
      <c r="C55" s="1413">
        <v>100</v>
      </c>
      <c r="D55" s="118"/>
      <c r="E55" s="1413">
        <v>84</v>
      </c>
      <c r="G55" s="1413">
        <v>130</v>
      </c>
      <c r="I55" s="1413">
        <v>90</v>
      </c>
      <c r="K55" s="1413">
        <v>90</v>
      </c>
      <c r="M55" s="62"/>
    </row>
    <row r="56" spans="1:13" s="40" customFormat="1" x14ac:dyDescent="0.2">
      <c r="A56" s="90" t="s">
        <v>2484</v>
      </c>
      <c r="B56" s="39"/>
      <c r="C56" s="1413">
        <v>11</v>
      </c>
      <c r="D56" s="118"/>
      <c r="E56" s="1413">
        <v>14</v>
      </c>
      <c r="G56" s="1413">
        <v>12</v>
      </c>
      <c r="I56" s="1413">
        <v>15</v>
      </c>
      <c r="K56" s="1413">
        <v>15</v>
      </c>
      <c r="M56" s="62"/>
    </row>
    <row r="57" spans="1:13" s="40" customFormat="1" x14ac:dyDescent="0.2">
      <c r="A57" s="90" t="s">
        <v>2485</v>
      </c>
      <c r="B57" s="39"/>
      <c r="C57" s="1413">
        <v>28</v>
      </c>
      <c r="D57" s="118"/>
      <c r="E57" s="1413">
        <v>49</v>
      </c>
      <c r="G57" s="1413">
        <v>35</v>
      </c>
      <c r="I57" s="1413">
        <v>45</v>
      </c>
      <c r="K57" s="1413">
        <v>45</v>
      </c>
      <c r="M57" s="62"/>
    </row>
    <row r="58" spans="1:13" s="40" customFormat="1" x14ac:dyDescent="0.2">
      <c r="A58" s="90" t="s">
        <v>2486</v>
      </c>
      <c r="B58" s="39"/>
      <c r="C58" s="1413">
        <v>41</v>
      </c>
      <c r="D58" s="118"/>
      <c r="E58" s="1413">
        <v>30</v>
      </c>
      <c r="G58" s="1413">
        <v>50</v>
      </c>
      <c r="I58" s="1413">
        <v>40</v>
      </c>
      <c r="K58" s="1413">
        <v>40</v>
      </c>
      <c r="M58" s="62"/>
    </row>
    <row r="59" spans="1:13" s="40" customFormat="1" x14ac:dyDescent="0.2">
      <c r="A59" s="90" t="s">
        <v>2487</v>
      </c>
      <c r="B59" s="39"/>
      <c r="C59" s="1413">
        <v>21</v>
      </c>
      <c r="D59" s="118"/>
      <c r="E59" s="1413">
        <v>31</v>
      </c>
      <c r="G59" s="1413">
        <v>30</v>
      </c>
      <c r="I59" s="1413">
        <v>30</v>
      </c>
      <c r="K59" s="1413">
        <v>30</v>
      </c>
      <c r="M59" s="62"/>
    </row>
    <row r="60" spans="1:13" s="40" customFormat="1" x14ac:dyDescent="0.2">
      <c r="A60" s="90" t="s">
        <v>2488</v>
      </c>
      <c r="B60" s="39"/>
      <c r="C60" s="1413">
        <v>37</v>
      </c>
      <c r="D60" s="118"/>
      <c r="E60" s="1413">
        <v>27</v>
      </c>
      <c r="G60" s="1413">
        <v>47</v>
      </c>
      <c r="I60" s="1413">
        <v>30</v>
      </c>
      <c r="K60" s="1413">
        <v>30</v>
      </c>
      <c r="M60" s="62"/>
    </row>
    <row r="61" spans="1:13" s="40" customFormat="1" x14ac:dyDescent="0.2">
      <c r="A61" s="35" t="s">
        <v>2489</v>
      </c>
      <c r="B61" s="39"/>
      <c r="C61" s="1416"/>
      <c r="E61" s="1412"/>
      <c r="M61" s="42"/>
    </row>
    <row r="62" spans="1:13" s="40" customFormat="1" x14ac:dyDescent="0.2">
      <c r="A62" s="41" t="s">
        <v>2490</v>
      </c>
      <c r="B62" s="39"/>
      <c r="C62" s="1412"/>
      <c r="E62" s="1412"/>
      <c r="M62" s="42"/>
    </row>
    <row r="63" spans="1:13" s="40" customFormat="1" x14ac:dyDescent="0.2">
      <c r="A63" s="90" t="s">
        <v>2491</v>
      </c>
      <c r="B63" s="39"/>
      <c r="C63" s="218">
        <v>65348</v>
      </c>
      <c r="E63" s="218">
        <v>85694</v>
      </c>
      <c r="G63" s="218">
        <v>75000</v>
      </c>
      <c r="I63" s="218">
        <v>80000</v>
      </c>
      <c r="K63" s="218">
        <v>80000</v>
      </c>
      <c r="M63" s="77"/>
    </row>
    <row r="64" spans="1:13" s="40" customFormat="1" x14ac:dyDescent="0.2">
      <c r="A64" s="90" t="s">
        <v>2492</v>
      </c>
      <c r="B64" s="39"/>
      <c r="C64" s="218">
        <v>4265</v>
      </c>
      <c r="E64" s="218">
        <v>4345</v>
      </c>
      <c r="G64" s="218">
        <v>5000</v>
      </c>
      <c r="I64" s="218">
        <v>4600</v>
      </c>
      <c r="K64" s="218">
        <v>5000</v>
      </c>
      <c r="M64" s="77"/>
    </row>
    <row r="65" spans="1:13" s="40" customFormat="1" x14ac:dyDescent="0.2">
      <c r="A65" s="90" t="s">
        <v>2493</v>
      </c>
      <c r="B65" s="39"/>
      <c r="C65" s="218">
        <v>0</v>
      </c>
      <c r="E65" s="218">
        <v>1</v>
      </c>
      <c r="G65" s="218">
        <v>2</v>
      </c>
      <c r="I65" s="218">
        <v>1</v>
      </c>
      <c r="K65" s="218">
        <v>1</v>
      </c>
      <c r="M65" s="77"/>
    </row>
    <row r="66" spans="1:13" s="40" customFormat="1" x14ac:dyDescent="0.2">
      <c r="A66" s="90" t="s">
        <v>2494</v>
      </c>
      <c r="B66" s="39"/>
      <c r="C66" s="1417">
        <v>69613</v>
      </c>
      <c r="E66" s="1417">
        <v>90040</v>
      </c>
      <c r="G66" s="1417">
        <v>80002</v>
      </c>
      <c r="I66" s="1417">
        <v>84601</v>
      </c>
      <c r="K66" s="1417">
        <v>85001</v>
      </c>
      <c r="M66" s="42"/>
    </row>
    <row r="67" spans="1:13" s="40" customFormat="1" x14ac:dyDescent="0.2">
      <c r="A67" s="123" t="s">
        <v>2495</v>
      </c>
      <c r="B67" s="39"/>
      <c r="C67" s="106"/>
      <c r="E67" s="106"/>
    </row>
    <row r="68" spans="1:13" s="40" customFormat="1" x14ac:dyDescent="0.2">
      <c r="A68" s="124" t="s">
        <v>2496</v>
      </c>
      <c r="B68" s="39"/>
      <c r="C68" s="106"/>
      <c r="E68" s="106"/>
    </row>
    <row r="69" spans="1:13" s="40" customFormat="1" x14ac:dyDescent="0.2">
      <c r="A69" s="94" t="s">
        <v>1136</v>
      </c>
      <c r="B69" s="39"/>
      <c r="C69" s="218">
        <v>65934</v>
      </c>
      <c r="E69" s="218">
        <v>62371</v>
      </c>
      <c r="G69" s="218">
        <v>67575</v>
      </c>
      <c r="I69" s="218">
        <v>64740</v>
      </c>
      <c r="K69" s="218">
        <v>67330</v>
      </c>
      <c r="M69" s="77"/>
    </row>
    <row r="70" spans="1:13" s="40" customFormat="1" x14ac:dyDescent="0.2">
      <c r="A70" s="94" t="s">
        <v>2497</v>
      </c>
      <c r="B70" s="39"/>
      <c r="C70" s="218">
        <v>37161</v>
      </c>
      <c r="E70" s="218">
        <v>36885</v>
      </c>
      <c r="G70" s="218">
        <v>37101</v>
      </c>
      <c r="I70" s="218">
        <v>36801</v>
      </c>
      <c r="K70" s="218">
        <v>36728</v>
      </c>
      <c r="M70" s="77"/>
    </row>
    <row r="71" spans="1:13" s="40" customFormat="1" x14ac:dyDescent="0.2">
      <c r="A71" s="94" t="s">
        <v>2498</v>
      </c>
      <c r="B71" s="39"/>
      <c r="C71" s="218">
        <v>14419</v>
      </c>
      <c r="E71" s="218">
        <v>14599</v>
      </c>
      <c r="G71" s="218">
        <v>14335</v>
      </c>
      <c r="I71" s="218">
        <v>14745</v>
      </c>
      <c r="K71" s="218">
        <v>14892</v>
      </c>
      <c r="M71" s="77"/>
    </row>
    <row r="72" spans="1:13" s="40" customFormat="1" x14ac:dyDescent="0.2">
      <c r="A72" s="94" t="s">
        <v>2499</v>
      </c>
      <c r="B72" s="39"/>
      <c r="C72" s="218">
        <v>1415</v>
      </c>
      <c r="E72" s="218">
        <v>1526</v>
      </c>
      <c r="G72" s="218">
        <v>1701</v>
      </c>
      <c r="I72" s="218">
        <v>1652</v>
      </c>
      <c r="K72" s="218">
        <v>1804</v>
      </c>
      <c r="M72" s="77"/>
    </row>
    <row r="73" spans="1:13" s="40" customFormat="1" x14ac:dyDescent="0.2">
      <c r="A73" s="94" t="s">
        <v>2500</v>
      </c>
      <c r="B73" s="39"/>
      <c r="C73" s="1418">
        <v>118929</v>
      </c>
      <c r="E73" s="1418">
        <f>SUM(E69:E72)</f>
        <v>115381</v>
      </c>
      <c r="G73" s="1418">
        <v>120712</v>
      </c>
      <c r="I73" s="1418">
        <v>117938</v>
      </c>
      <c r="K73" s="1418">
        <v>120754</v>
      </c>
      <c r="M73" s="77"/>
    </row>
    <row r="74" spans="1:13" s="40" customFormat="1" x14ac:dyDescent="0.2">
      <c r="A74" s="124" t="s">
        <v>2501</v>
      </c>
      <c r="B74" s="39"/>
      <c r="C74" s="104"/>
      <c r="E74" s="104"/>
      <c r="M74" s="42"/>
    </row>
    <row r="75" spans="1:13" s="40" customFormat="1" x14ac:dyDescent="0.2">
      <c r="A75" s="94" t="s">
        <v>1136</v>
      </c>
      <c r="B75" s="39"/>
      <c r="C75" s="218">
        <v>11708</v>
      </c>
      <c r="E75" s="218">
        <v>11082</v>
      </c>
      <c r="G75" s="218">
        <v>13323</v>
      </c>
      <c r="I75" s="218">
        <v>11790</v>
      </c>
      <c r="K75" s="218">
        <v>12968</v>
      </c>
      <c r="M75" s="77"/>
    </row>
    <row r="76" spans="1:13" s="40" customFormat="1" x14ac:dyDescent="0.2">
      <c r="A76" s="94" t="s">
        <v>2497</v>
      </c>
      <c r="B76" s="39"/>
      <c r="C76" s="218">
        <v>139795</v>
      </c>
      <c r="E76" s="218">
        <v>138758</v>
      </c>
      <c r="G76" s="218">
        <v>153095</v>
      </c>
      <c r="I76" s="218">
        <v>138442</v>
      </c>
      <c r="K76" s="218">
        <v>144059</v>
      </c>
      <c r="M76" s="77"/>
    </row>
    <row r="77" spans="1:13" s="40" customFormat="1" x14ac:dyDescent="0.2">
      <c r="A77" s="94" t="s">
        <v>2498</v>
      </c>
      <c r="B77" s="39"/>
      <c r="C77" s="218">
        <v>5973</v>
      </c>
      <c r="E77" s="218">
        <v>6053</v>
      </c>
      <c r="G77" s="218">
        <v>6000</v>
      </c>
      <c r="I77" s="218">
        <v>6113</v>
      </c>
      <c r="K77" s="218">
        <v>6432</v>
      </c>
      <c r="M77" s="77"/>
    </row>
    <row r="78" spans="1:13" s="40" customFormat="1" x14ac:dyDescent="0.2">
      <c r="A78" s="94" t="s">
        <v>2499</v>
      </c>
      <c r="B78" s="39"/>
      <c r="C78" s="218">
        <v>328</v>
      </c>
      <c r="E78" s="218">
        <v>269</v>
      </c>
      <c r="G78" s="218">
        <v>400</v>
      </c>
      <c r="I78" s="218">
        <v>260</v>
      </c>
      <c r="K78" s="218">
        <v>252</v>
      </c>
      <c r="M78" s="77"/>
    </row>
    <row r="79" spans="1:13" s="40" customFormat="1" x14ac:dyDescent="0.2">
      <c r="A79" s="94" t="s">
        <v>2500</v>
      </c>
      <c r="B79" s="39"/>
      <c r="C79" s="1418">
        <v>157804</v>
      </c>
      <c r="E79" s="1418">
        <f>SUM(E75:E78)</f>
        <v>156162</v>
      </c>
      <c r="G79" s="1418">
        <f>SUM(G75:G78)</f>
        <v>172818</v>
      </c>
      <c r="I79" s="1418">
        <f>SUM(I75:I78)</f>
        <v>156605</v>
      </c>
      <c r="K79" s="1418">
        <f>SUM(K75:K78)</f>
        <v>163711</v>
      </c>
      <c r="M79" s="77"/>
    </row>
    <row r="80" spans="1:13" s="40" customFormat="1" x14ac:dyDescent="0.2">
      <c r="A80" s="90"/>
      <c r="B80" s="39"/>
      <c r="M80" s="42"/>
    </row>
    <row r="81" spans="1:13" s="40" customFormat="1" x14ac:dyDescent="0.2">
      <c r="A81" s="90"/>
      <c r="B81" s="39"/>
    </row>
    <row r="82" spans="1:13" s="37" customFormat="1" x14ac:dyDescent="0.2">
      <c r="A82" s="35" t="s">
        <v>194</v>
      </c>
      <c r="B82" s="36"/>
    </row>
    <row r="83" spans="1:13" s="37" customFormat="1" x14ac:dyDescent="0.2">
      <c r="A83" s="35" t="s">
        <v>195</v>
      </c>
      <c r="B83" s="36"/>
    </row>
    <row r="84" spans="1:13" s="40" customFormat="1" x14ac:dyDescent="0.2">
      <c r="A84" s="38" t="s">
        <v>196</v>
      </c>
      <c r="B84" s="39"/>
    </row>
    <row r="85" spans="1:13" s="40" customFormat="1" ht="12.75" hidden="1" customHeight="1" x14ac:dyDescent="0.2">
      <c r="A85" s="41" t="s">
        <v>10</v>
      </c>
      <c r="B85" s="39"/>
      <c r="M85" s="42"/>
    </row>
    <row r="86" spans="1:13" s="40" customFormat="1" x14ac:dyDescent="0.2">
      <c r="A86" s="41" t="s">
        <v>262</v>
      </c>
      <c r="B86" s="39"/>
      <c r="C86" s="76">
        <v>227</v>
      </c>
      <c r="E86" s="76">
        <v>230</v>
      </c>
      <c r="G86" s="76">
        <v>248</v>
      </c>
      <c r="I86" s="76">
        <v>213</v>
      </c>
      <c r="K86" s="76">
        <v>247</v>
      </c>
      <c r="M86" s="76"/>
    </row>
    <row r="87" spans="1:13" s="40" customFormat="1" x14ac:dyDescent="0.2">
      <c r="A87" s="41" t="s">
        <v>198</v>
      </c>
      <c r="B87" s="39"/>
      <c r="C87" s="76">
        <f>C86</f>
        <v>227</v>
      </c>
      <c r="E87" s="76">
        <f>E86</f>
        <v>230</v>
      </c>
      <c r="G87" s="76">
        <f>G86</f>
        <v>248</v>
      </c>
      <c r="I87" s="76">
        <v>213</v>
      </c>
      <c r="K87" s="76">
        <f>K86</f>
        <v>247</v>
      </c>
      <c r="M87" s="76"/>
    </row>
    <row r="88" spans="1:13" s="40" customFormat="1" x14ac:dyDescent="0.2">
      <c r="A88" s="38" t="s">
        <v>199</v>
      </c>
      <c r="B88" s="39"/>
      <c r="C88" s="76"/>
      <c r="E88" s="76"/>
      <c r="G88" s="76"/>
      <c r="I88" s="76"/>
      <c r="K88" s="76"/>
    </row>
    <row r="89" spans="1:13" s="40" customFormat="1" x14ac:dyDescent="0.2">
      <c r="A89" s="41" t="s">
        <v>2442</v>
      </c>
      <c r="B89" s="39"/>
      <c r="C89" s="76">
        <v>63</v>
      </c>
      <c r="E89" s="76">
        <v>63</v>
      </c>
      <c r="G89" s="76">
        <v>72</v>
      </c>
      <c r="I89" s="76">
        <v>60</v>
      </c>
      <c r="K89" s="76">
        <v>73</v>
      </c>
      <c r="M89" s="76"/>
    </row>
    <row r="90" spans="1:13" s="40" customFormat="1" x14ac:dyDescent="0.2">
      <c r="A90" s="41" t="s">
        <v>2466</v>
      </c>
      <c r="B90" s="39"/>
      <c r="C90" s="76">
        <v>19</v>
      </c>
      <c r="E90" s="76">
        <v>18</v>
      </c>
      <c r="G90" s="76">
        <v>20</v>
      </c>
      <c r="I90" s="76">
        <v>17</v>
      </c>
      <c r="K90" s="76">
        <v>18</v>
      </c>
      <c r="M90" s="76"/>
    </row>
    <row r="91" spans="1:13" s="40" customFormat="1" x14ac:dyDescent="0.2">
      <c r="A91" s="41" t="s">
        <v>2489</v>
      </c>
      <c r="B91" s="39"/>
      <c r="C91" s="76">
        <v>18</v>
      </c>
      <c r="E91" s="76">
        <v>17</v>
      </c>
      <c r="G91" s="76">
        <v>23</v>
      </c>
      <c r="I91" s="76">
        <v>12</v>
      </c>
      <c r="K91" s="76">
        <v>20</v>
      </c>
      <c r="M91" s="76"/>
    </row>
    <row r="92" spans="1:13" s="40" customFormat="1" x14ac:dyDescent="0.2">
      <c r="A92" s="41" t="s">
        <v>2502</v>
      </c>
      <c r="B92" s="39"/>
      <c r="C92" s="76">
        <v>43</v>
      </c>
      <c r="E92" s="76">
        <v>43</v>
      </c>
      <c r="G92" s="76">
        <v>44</v>
      </c>
      <c r="I92" s="76">
        <v>38</v>
      </c>
      <c r="K92" s="76">
        <v>44</v>
      </c>
      <c r="M92" s="76"/>
    </row>
    <row r="93" spans="1:13" s="40" customFormat="1" x14ac:dyDescent="0.2">
      <c r="A93" s="41" t="s">
        <v>263</v>
      </c>
      <c r="B93" s="39"/>
      <c r="C93" s="76">
        <v>84</v>
      </c>
      <c r="E93" s="76">
        <v>89</v>
      </c>
      <c r="G93" s="76">
        <v>89</v>
      </c>
      <c r="I93" s="76">
        <v>86</v>
      </c>
      <c r="K93" s="76">
        <v>92</v>
      </c>
      <c r="M93" s="76"/>
    </row>
    <row r="94" spans="1:13" s="40" customFormat="1" x14ac:dyDescent="0.2">
      <c r="A94" s="41" t="s">
        <v>198</v>
      </c>
      <c r="B94" s="39"/>
      <c r="C94" s="76">
        <f>SUM(C89:C93)</f>
        <v>227</v>
      </c>
      <c r="E94" s="76">
        <f>SUM(E89:E93)</f>
        <v>230</v>
      </c>
      <c r="G94" s="76">
        <f>SUM(G89:G93)</f>
        <v>248</v>
      </c>
      <c r="I94" s="76">
        <f>SUM(I89:I93)</f>
        <v>213</v>
      </c>
      <c r="K94" s="76">
        <f>SUM(K89:K93)</f>
        <v>247</v>
      </c>
      <c r="M94" s="76"/>
    </row>
    <row r="95" spans="1:13" s="37" customFormat="1" x14ac:dyDescent="0.2">
      <c r="A95" s="35"/>
      <c r="B95" s="36"/>
    </row>
    <row r="96" spans="1:13" s="48" customFormat="1" x14ac:dyDescent="0.2">
      <c r="A96" s="46"/>
      <c r="B96" s="47"/>
    </row>
    <row r="97" spans="1:17" s="48" customFormat="1" x14ac:dyDescent="0.2">
      <c r="A97" s="49" t="s">
        <v>200</v>
      </c>
      <c r="B97" s="50"/>
      <c r="C97" s="51"/>
      <c r="D97" s="52"/>
      <c r="E97" s="53"/>
      <c r="F97" s="52"/>
      <c r="G97" s="53"/>
      <c r="H97" s="52"/>
      <c r="I97" s="53"/>
      <c r="J97" s="52"/>
      <c r="K97" s="53"/>
      <c r="L97" s="52"/>
      <c r="M97" s="51"/>
      <c r="N97" s="52"/>
    </row>
    <row r="98" spans="1:17" ht="25.5" customHeight="1" x14ac:dyDescent="0.2">
      <c r="A98" s="1834" t="s">
        <v>218</v>
      </c>
      <c r="B98" s="1835"/>
      <c r="C98" s="1835"/>
      <c r="D98" s="1835"/>
      <c r="E98" s="1835"/>
      <c r="F98" s="1835"/>
      <c r="G98" s="1835"/>
      <c r="H98" s="1835"/>
      <c r="I98" s="1835"/>
      <c r="J98" s="1835"/>
      <c r="K98" s="1835"/>
      <c r="L98" s="1835"/>
      <c r="M98" s="1835"/>
      <c r="N98" s="1835"/>
      <c r="O98" s="54"/>
      <c r="P98" s="54"/>
      <c r="Q98" s="951"/>
    </row>
    <row r="99" spans="1:17" ht="25.5" customHeight="1" x14ac:dyDescent="0.2">
      <c r="A99" s="1834" t="s">
        <v>2503</v>
      </c>
      <c r="B99" s="1835"/>
      <c r="C99" s="1835"/>
      <c r="D99" s="1835"/>
      <c r="E99" s="1835"/>
      <c r="F99" s="1835"/>
      <c r="G99" s="1835"/>
      <c r="H99" s="1835"/>
      <c r="I99" s="1835"/>
      <c r="J99" s="1835"/>
      <c r="K99" s="1835"/>
      <c r="L99" s="1835"/>
      <c r="M99" s="1835"/>
      <c r="N99" s="1835"/>
      <c r="O99" s="54"/>
      <c r="P99" s="54"/>
    </row>
    <row r="100" spans="1:17" ht="27.75" customHeight="1" x14ac:dyDescent="0.2">
      <c r="A100" s="1834" t="s">
        <v>2504</v>
      </c>
      <c r="B100" s="1835"/>
      <c r="C100" s="1835"/>
      <c r="D100" s="1835"/>
      <c r="E100" s="1835"/>
      <c r="F100" s="1835"/>
      <c r="G100" s="1835"/>
      <c r="H100" s="1835"/>
      <c r="I100" s="1835"/>
      <c r="J100" s="1835"/>
      <c r="K100" s="1835"/>
      <c r="L100" s="1835"/>
      <c r="M100" s="1835"/>
      <c r="N100" s="1835"/>
      <c r="O100" s="54"/>
      <c r="P100" s="54"/>
    </row>
    <row r="101" spans="1:17" ht="27.75" customHeight="1" x14ac:dyDescent="0.2">
      <c r="A101" s="1735"/>
      <c r="B101" s="1736"/>
      <c r="C101" s="1737"/>
      <c r="D101" s="1736"/>
      <c r="E101" s="1737"/>
      <c r="F101" s="1736"/>
      <c r="G101" s="1737"/>
      <c r="H101" s="1736"/>
      <c r="I101" s="1737"/>
      <c r="J101" s="1736"/>
      <c r="K101" s="1737"/>
      <c r="L101" s="1736"/>
      <c r="M101" s="1737"/>
      <c r="N101" s="1736"/>
      <c r="O101" s="54"/>
      <c r="P101" s="54"/>
    </row>
    <row r="102" spans="1:17" ht="27.75" customHeight="1" x14ac:dyDescent="0.2">
      <c r="A102" s="1735"/>
      <c r="B102" s="1736"/>
      <c r="C102" s="1737"/>
      <c r="D102" s="1736"/>
      <c r="E102" s="1737"/>
      <c r="F102" s="1736"/>
      <c r="G102" s="1737"/>
      <c r="H102" s="1736"/>
      <c r="I102" s="1737"/>
      <c r="J102" s="1736"/>
      <c r="K102" s="1737"/>
      <c r="L102" s="1736"/>
      <c r="M102" s="1737"/>
      <c r="N102" s="1736"/>
      <c r="O102" s="54"/>
      <c r="P102" s="54"/>
    </row>
    <row r="103" spans="1:17" x14ac:dyDescent="0.2">
      <c r="A103" s="55"/>
      <c r="B103" s="54"/>
      <c r="C103" s="56"/>
      <c r="D103" s="54"/>
      <c r="E103" s="56"/>
      <c r="F103" s="54"/>
      <c r="G103" s="56"/>
      <c r="H103" s="54"/>
      <c r="I103" s="56"/>
      <c r="J103" s="54"/>
      <c r="K103" s="56"/>
      <c r="L103" s="54"/>
      <c r="M103" s="56"/>
      <c r="N103" s="54"/>
      <c r="O103" s="54"/>
      <c r="P103" s="54"/>
    </row>
    <row r="104" spans="1:17" x14ac:dyDescent="0.2">
      <c r="A104" s="55"/>
      <c r="B104" s="54"/>
      <c r="C104" s="107"/>
      <c r="D104" s="54"/>
      <c r="E104" s="107"/>
      <c r="F104" s="54"/>
      <c r="G104" s="107"/>
      <c r="H104" s="54"/>
      <c r="I104" s="107"/>
      <c r="J104" s="54"/>
      <c r="K104" s="107"/>
      <c r="L104" s="54"/>
      <c r="M104" s="107"/>
      <c r="N104" s="54"/>
      <c r="O104" s="54"/>
      <c r="P104" s="54"/>
    </row>
    <row r="105" spans="1:17" x14ac:dyDescent="0.2">
      <c r="A105" s="55"/>
      <c r="B105" s="54"/>
      <c r="C105" s="56"/>
      <c r="D105" s="54"/>
      <c r="E105" s="56"/>
      <c r="F105" s="54"/>
      <c r="G105" s="56"/>
      <c r="H105" s="54"/>
      <c r="I105" s="56"/>
      <c r="J105" s="54"/>
      <c r="K105" s="56"/>
      <c r="L105" s="54"/>
      <c r="M105" s="56"/>
      <c r="N105" s="54"/>
      <c r="O105" s="54"/>
      <c r="P105" s="54"/>
    </row>
    <row r="106" spans="1:17" x14ac:dyDescent="0.2">
      <c r="A106" s="55"/>
      <c r="B106" s="54"/>
      <c r="C106" s="54"/>
      <c r="D106" s="54"/>
      <c r="E106" s="54"/>
      <c r="F106" s="54"/>
      <c r="G106" s="54"/>
      <c r="H106" s="54"/>
      <c r="I106" s="54"/>
      <c r="J106" s="54"/>
      <c r="K106" s="54"/>
      <c r="L106" s="54"/>
      <c r="M106" s="54"/>
      <c r="N106" s="54"/>
      <c r="O106" s="54"/>
      <c r="P106" s="54"/>
    </row>
    <row r="107" spans="1:17" x14ac:dyDescent="0.2">
      <c r="A107" s="55"/>
      <c r="B107" s="54"/>
      <c r="C107" s="56"/>
      <c r="D107" s="54"/>
      <c r="E107" s="56"/>
      <c r="F107" s="54"/>
      <c r="G107" s="56"/>
      <c r="H107" s="54"/>
      <c r="I107" s="56"/>
      <c r="J107" s="54"/>
      <c r="K107" s="56"/>
      <c r="L107" s="54"/>
      <c r="M107" s="56"/>
      <c r="N107" s="54"/>
      <c r="O107" s="54"/>
      <c r="P107" s="54"/>
    </row>
    <row r="108" spans="1:17" x14ac:dyDescent="0.2">
      <c r="A108" s="55"/>
      <c r="B108" s="54"/>
      <c r="C108" s="54"/>
      <c r="D108" s="54"/>
      <c r="E108" s="54"/>
      <c r="F108" s="54"/>
      <c r="G108" s="54"/>
      <c r="H108" s="54"/>
      <c r="I108" s="54"/>
      <c r="J108" s="54"/>
      <c r="K108" s="54"/>
      <c r="L108" s="54"/>
      <c r="M108" s="54"/>
      <c r="N108" s="54"/>
      <c r="O108" s="54"/>
      <c r="P108" s="54"/>
    </row>
    <row r="109" spans="1:17" x14ac:dyDescent="0.2">
      <c r="A109" s="55"/>
      <c r="B109" s="54"/>
      <c r="C109" s="54"/>
      <c r="D109" s="54"/>
      <c r="E109" s="54"/>
      <c r="F109" s="54"/>
      <c r="G109" s="54"/>
      <c r="H109" s="54"/>
      <c r="I109" s="54"/>
      <c r="J109" s="54"/>
      <c r="K109" s="54"/>
      <c r="L109" s="54"/>
      <c r="M109" s="54"/>
      <c r="N109" s="54"/>
      <c r="O109" s="54"/>
      <c r="P109" s="54"/>
    </row>
    <row r="110" spans="1:17" x14ac:dyDescent="0.2">
      <c r="A110" s="55"/>
      <c r="B110" s="54"/>
      <c r="C110" s="54"/>
      <c r="D110" s="54"/>
      <c r="E110" s="54"/>
      <c r="F110" s="54"/>
      <c r="G110" s="54"/>
      <c r="H110" s="54"/>
      <c r="I110" s="54"/>
      <c r="J110" s="54"/>
      <c r="K110" s="54"/>
      <c r="L110" s="54"/>
      <c r="M110" s="54"/>
      <c r="N110" s="54"/>
      <c r="O110" s="54"/>
      <c r="P110" s="54"/>
      <c r="Q110" s="57"/>
    </row>
    <row r="111" spans="1:17" x14ac:dyDescent="0.2">
      <c r="B111" s="25"/>
      <c r="C111" s="25"/>
      <c r="D111" s="25"/>
      <c r="E111" s="58"/>
      <c r="F111" s="58"/>
      <c r="G111" s="58"/>
      <c r="H111" s="58"/>
    </row>
    <row r="112" spans="1:17"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c r="C118" s="25"/>
      <c r="D118" s="25"/>
      <c r="E118" s="58"/>
      <c r="F118" s="58"/>
      <c r="G118" s="58"/>
      <c r="H118" s="58"/>
    </row>
    <row r="119" spans="2:8" x14ac:dyDescent="0.2">
      <c r="B119" s="25"/>
      <c r="C119" s="25"/>
      <c r="D119" s="25"/>
      <c r="E119" s="58"/>
      <c r="F119" s="58"/>
      <c r="G119" s="58"/>
      <c r="H119" s="58"/>
    </row>
    <row r="120" spans="2:8" x14ac:dyDescent="0.2">
      <c r="B120" s="25"/>
      <c r="C120" s="25"/>
      <c r="D120" s="25"/>
      <c r="E120" s="58"/>
      <c r="F120" s="58"/>
      <c r="G120" s="58"/>
      <c r="H120" s="58"/>
    </row>
    <row r="121" spans="2:8" x14ac:dyDescent="0.2">
      <c r="B121" s="25"/>
      <c r="C121" s="25"/>
      <c r="D121" s="25"/>
      <c r="E121" s="58"/>
      <c r="F121" s="58"/>
      <c r="G121" s="58"/>
      <c r="H121" s="58"/>
    </row>
    <row r="122" spans="2:8" x14ac:dyDescent="0.2">
      <c r="B122" s="25"/>
      <c r="C122" s="25"/>
      <c r="D122" s="25"/>
      <c r="E122" s="58"/>
      <c r="F122" s="58"/>
      <c r="G122" s="58"/>
      <c r="H122" s="58"/>
    </row>
    <row r="123" spans="2:8" x14ac:dyDescent="0.2">
      <c r="B123" s="25"/>
      <c r="C123" s="25"/>
      <c r="D123" s="25"/>
      <c r="E123" s="58"/>
      <c r="F123" s="58"/>
      <c r="G123" s="58"/>
      <c r="H123" s="58"/>
    </row>
    <row r="124" spans="2:8" x14ac:dyDescent="0.2">
      <c r="B124" s="25"/>
      <c r="C124" s="25"/>
      <c r="D124" s="25"/>
      <c r="E124" s="58"/>
      <c r="F124" s="58"/>
      <c r="G124" s="58"/>
      <c r="H124" s="58"/>
    </row>
    <row r="125" spans="2:8" x14ac:dyDescent="0.2">
      <c r="B125" s="25"/>
      <c r="C125" s="25"/>
      <c r="D125" s="25"/>
      <c r="E125" s="58"/>
      <c r="F125" s="58"/>
      <c r="G125" s="58"/>
      <c r="H125" s="58"/>
    </row>
    <row r="126" spans="2:8" x14ac:dyDescent="0.2">
      <c r="B126" s="25"/>
      <c r="C126" s="25"/>
      <c r="D126" s="25"/>
      <c r="E126" s="58"/>
      <c r="F126" s="58"/>
      <c r="G126" s="58"/>
      <c r="H126" s="58"/>
    </row>
    <row r="127" spans="2:8" x14ac:dyDescent="0.2">
      <c r="B127" s="25"/>
      <c r="C127" s="25"/>
      <c r="D127" s="25"/>
      <c r="E127" s="58"/>
      <c r="F127" s="58"/>
      <c r="G127" s="58"/>
      <c r="H127" s="58"/>
    </row>
    <row r="128" spans="2:8" x14ac:dyDescent="0.2">
      <c r="B128" s="25"/>
      <c r="C128" s="25"/>
      <c r="D128" s="25"/>
      <c r="E128" s="58"/>
      <c r="F128" s="58"/>
      <c r="G128" s="58"/>
      <c r="H128" s="58"/>
    </row>
    <row r="129" spans="2:8" x14ac:dyDescent="0.2">
      <c r="B129" s="25"/>
      <c r="C129" s="25"/>
      <c r="D129" s="25"/>
      <c r="E129" s="58"/>
      <c r="F129" s="58"/>
      <c r="G129" s="58"/>
      <c r="H129" s="58"/>
    </row>
    <row r="130" spans="2:8" x14ac:dyDescent="0.2">
      <c r="B130" s="25"/>
      <c r="C130" s="25"/>
      <c r="D130" s="25"/>
      <c r="E130" s="58"/>
      <c r="F130" s="58"/>
      <c r="G130" s="58"/>
      <c r="H130" s="58"/>
    </row>
    <row r="131" spans="2:8" x14ac:dyDescent="0.2">
      <c r="B131" s="25"/>
      <c r="C131" s="25"/>
      <c r="D131" s="25"/>
      <c r="E131" s="58"/>
      <c r="F131" s="58"/>
      <c r="G131" s="58"/>
      <c r="H131" s="58"/>
    </row>
    <row r="132" spans="2:8" x14ac:dyDescent="0.2">
      <c r="B132" s="25"/>
      <c r="C132" s="25"/>
      <c r="D132" s="25"/>
      <c r="E132" s="58"/>
      <c r="F132" s="58"/>
      <c r="G132" s="58"/>
      <c r="H132" s="58"/>
    </row>
    <row r="133" spans="2:8" x14ac:dyDescent="0.2">
      <c r="B133" s="25"/>
      <c r="C133" s="25"/>
      <c r="D133" s="25"/>
      <c r="E133" s="58"/>
      <c r="F133" s="58"/>
      <c r="G133" s="58"/>
      <c r="H133" s="58"/>
    </row>
    <row r="134" spans="2:8" x14ac:dyDescent="0.2">
      <c r="B134" s="25"/>
      <c r="C134" s="25"/>
      <c r="D134" s="25"/>
      <c r="E134" s="58"/>
      <c r="F134" s="58"/>
      <c r="G134" s="58"/>
      <c r="H134" s="58"/>
    </row>
    <row r="135" spans="2:8" x14ac:dyDescent="0.2">
      <c r="B135" s="25"/>
      <c r="C135" s="25"/>
      <c r="D135" s="25"/>
      <c r="E135" s="58"/>
      <c r="F135" s="58"/>
      <c r="G135" s="58"/>
      <c r="H135" s="58"/>
    </row>
    <row r="136" spans="2:8" x14ac:dyDescent="0.2">
      <c r="B136" s="25"/>
      <c r="C136" s="25"/>
      <c r="D136" s="25"/>
      <c r="E136" s="58"/>
      <c r="F136" s="58"/>
      <c r="G136" s="58"/>
      <c r="H136" s="58"/>
    </row>
    <row r="137" spans="2:8" x14ac:dyDescent="0.2">
      <c r="B137" s="25"/>
      <c r="C137" s="25"/>
      <c r="D137" s="25"/>
      <c r="E137" s="58"/>
      <c r="F137" s="58"/>
      <c r="G137" s="58"/>
      <c r="H137" s="58"/>
    </row>
    <row r="138" spans="2:8" x14ac:dyDescent="0.2">
      <c r="B138" s="25"/>
      <c r="C138" s="25"/>
      <c r="D138" s="25"/>
      <c r="E138" s="58"/>
      <c r="F138" s="58"/>
      <c r="G138" s="58"/>
      <c r="H138" s="58"/>
    </row>
    <row r="139" spans="2:8" x14ac:dyDescent="0.2">
      <c r="B139" s="25"/>
      <c r="C139" s="25"/>
      <c r="D139" s="25"/>
      <c r="E139" s="58"/>
      <c r="F139" s="58"/>
      <c r="G139" s="58"/>
      <c r="H139" s="58"/>
    </row>
    <row r="140" spans="2:8" x14ac:dyDescent="0.2">
      <c r="B140" s="25"/>
    </row>
    <row r="141" spans="2:8" x14ac:dyDescent="0.2">
      <c r="B141" s="25"/>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row r="154" spans="2:2" x14ac:dyDescent="0.2">
      <c r="B154" s="25"/>
    </row>
    <row r="155" spans="2:2" x14ac:dyDescent="0.2">
      <c r="B155" s="25"/>
    </row>
    <row r="156" spans="2:2" x14ac:dyDescent="0.2">
      <c r="B156" s="25"/>
    </row>
  </sheetData>
  <mergeCells count="6">
    <mergeCell ref="A102:N102"/>
    <mergeCell ref="K2:K3"/>
    <mergeCell ref="A98:N98"/>
    <mergeCell ref="A99:N99"/>
    <mergeCell ref="A100:N100"/>
    <mergeCell ref="A101:N101"/>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0" fitToHeight="100" pageOrder="overThenDown" orientation="portrait" blackAndWhite="1"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5">
    <pageSetUpPr fitToPage="1"/>
  </sheetPr>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2505</v>
      </c>
      <c r="C4" s="10" t="s">
        <v>67</v>
      </c>
      <c r="D4" s="6"/>
      <c r="E4" s="11"/>
      <c r="F4" s="9"/>
      <c r="G4" s="11"/>
      <c r="H4" s="6"/>
      <c r="I4" s="11"/>
      <c r="J4" s="6"/>
      <c r="K4" s="11"/>
      <c r="L4" s="6"/>
      <c r="M4" s="11"/>
      <c r="N4" s="6"/>
    </row>
    <row r="5" spans="1:16" s="4" customFormat="1" ht="15.75" x14ac:dyDescent="0.2">
      <c r="A5" s="1" t="s">
        <v>183</v>
      </c>
      <c r="B5" s="12" t="s">
        <v>2506</v>
      </c>
      <c r="C5" s="12" t="s">
        <v>2507</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194</v>
      </c>
      <c r="B10" s="36"/>
      <c r="C10" s="87"/>
      <c r="D10" s="87"/>
      <c r="E10" s="87"/>
    </row>
    <row r="11" spans="1:16" s="37" customFormat="1" x14ac:dyDescent="0.2">
      <c r="A11" s="35" t="s">
        <v>195</v>
      </c>
      <c r="B11" s="36"/>
      <c r="C11" s="87"/>
      <c r="D11" s="87"/>
      <c r="E11" s="87"/>
    </row>
    <row r="12" spans="1:16" s="40" customFormat="1" x14ac:dyDescent="0.2">
      <c r="A12" s="38" t="s">
        <v>196</v>
      </c>
      <c r="B12" s="39"/>
      <c r="C12" s="63"/>
      <c r="D12" s="63"/>
      <c r="E12" s="63"/>
    </row>
    <row r="13" spans="1:16" s="40" customFormat="1" x14ac:dyDescent="0.2">
      <c r="A13" s="41" t="s">
        <v>197</v>
      </c>
      <c r="B13" s="39"/>
      <c r="C13" s="62">
        <v>84</v>
      </c>
      <c r="D13" s="62"/>
      <c r="E13" s="62">
        <v>89</v>
      </c>
      <c r="G13" s="62">
        <v>90</v>
      </c>
      <c r="I13" s="42">
        <v>90</v>
      </c>
      <c r="K13" s="42">
        <v>94</v>
      </c>
      <c r="M13" s="528"/>
    </row>
    <row r="14" spans="1:16" s="40" customFormat="1" x14ac:dyDescent="0.2">
      <c r="A14" s="41" t="s">
        <v>2508</v>
      </c>
      <c r="B14" s="39"/>
      <c r="C14" s="62">
        <v>38</v>
      </c>
      <c r="D14" s="1419"/>
      <c r="E14" s="62">
        <v>36</v>
      </c>
      <c r="G14" s="62">
        <v>40</v>
      </c>
      <c r="I14" s="42">
        <v>38</v>
      </c>
      <c r="K14" s="42">
        <v>47</v>
      </c>
      <c r="M14" s="528"/>
    </row>
    <row r="15" spans="1:16" s="40" customFormat="1" x14ac:dyDescent="0.2">
      <c r="A15" s="41" t="s">
        <v>198</v>
      </c>
      <c r="B15" s="39"/>
      <c r="C15" s="62">
        <v>122</v>
      </c>
      <c r="D15" s="63"/>
      <c r="E15" s="62">
        <f>SUM(E13:E14)</f>
        <v>125</v>
      </c>
      <c r="G15" s="62">
        <v>130</v>
      </c>
      <c r="I15" s="42">
        <f>SUM(I13:I14)</f>
        <v>128</v>
      </c>
      <c r="K15" s="42">
        <f>SUM(K13:K14)</f>
        <v>141</v>
      </c>
      <c r="M15" s="528"/>
    </row>
    <row r="16" spans="1:16" s="40" customFormat="1" x14ac:dyDescent="0.2">
      <c r="A16" s="38" t="s">
        <v>199</v>
      </c>
      <c r="B16" s="39"/>
      <c r="C16" s="63"/>
      <c r="D16" s="63"/>
      <c r="E16" s="63"/>
      <c r="I16" s="1420"/>
      <c r="M16" s="417"/>
    </row>
    <row r="17" spans="1:17" s="40" customFormat="1" x14ac:dyDescent="0.2">
      <c r="A17" s="41" t="s">
        <v>2507</v>
      </c>
      <c r="B17" s="39"/>
      <c r="C17" s="62">
        <v>122</v>
      </c>
      <c r="D17" s="63"/>
      <c r="E17" s="62">
        <v>125</v>
      </c>
      <c r="G17" s="62">
        <v>130</v>
      </c>
      <c r="I17" s="42">
        <v>128</v>
      </c>
      <c r="K17" s="42">
        <v>141</v>
      </c>
      <c r="M17" s="528"/>
    </row>
    <row r="18" spans="1:17" s="70" customFormat="1" x14ac:dyDescent="0.2">
      <c r="A18" s="982" t="s">
        <v>198</v>
      </c>
      <c r="B18" s="983"/>
      <c r="C18" s="62">
        <v>122</v>
      </c>
      <c r="D18" s="71"/>
      <c r="E18" s="62">
        <v>125</v>
      </c>
      <c r="G18" s="62">
        <v>130</v>
      </c>
      <c r="I18" s="42">
        <v>128</v>
      </c>
      <c r="K18" s="42">
        <v>141</v>
      </c>
      <c r="M18" s="528"/>
    </row>
    <row r="19" spans="1:17" s="37" customFormat="1" x14ac:dyDescent="0.2">
      <c r="A19" s="35"/>
      <c r="B19" s="36"/>
    </row>
    <row r="20" spans="1:17" s="48" customFormat="1" x14ac:dyDescent="0.2">
      <c r="A20" s="46"/>
      <c r="B20" s="47"/>
    </row>
    <row r="21" spans="1:17" s="48" customFormat="1" x14ac:dyDescent="0.2">
      <c r="A21" s="49" t="s">
        <v>200</v>
      </c>
      <c r="B21" s="50"/>
      <c r="C21" s="51"/>
      <c r="D21" s="52"/>
      <c r="E21" s="53"/>
      <c r="F21" s="52"/>
      <c r="G21" s="53"/>
      <c r="H21" s="52"/>
      <c r="I21" s="53"/>
      <c r="J21" s="52"/>
      <c r="K21" s="53"/>
      <c r="L21" s="52"/>
      <c r="M21" s="51"/>
      <c r="N21" s="52"/>
    </row>
    <row r="22" spans="1:17" ht="27.75" customHeight="1" x14ac:dyDescent="0.2">
      <c r="A22" s="1738" t="s">
        <v>524</v>
      </c>
      <c r="B22" s="1736"/>
      <c r="C22" s="1737"/>
      <c r="D22" s="1736"/>
      <c r="E22" s="1737"/>
      <c r="F22" s="1736"/>
      <c r="G22" s="1737"/>
      <c r="H22" s="1736"/>
      <c r="I22" s="1737"/>
      <c r="J22" s="1736"/>
      <c r="K22" s="1737"/>
      <c r="L22" s="1736"/>
      <c r="M22" s="1737"/>
      <c r="N22" s="1736"/>
      <c r="O22" s="54"/>
      <c r="P22" s="54"/>
      <c r="Q22" s="951"/>
    </row>
    <row r="23" spans="1:17" ht="27.75" customHeight="1" x14ac:dyDescent="0.2">
      <c r="A23" s="1738"/>
      <c r="B23" s="1736"/>
      <c r="C23" s="1737"/>
      <c r="D23" s="1736"/>
      <c r="E23" s="1737"/>
      <c r="F23" s="1736"/>
      <c r="G23" s="1737"/>
      <c r="H23" s="1736"/>
      <c r="I23" s="1737"/>
      <c r="J23" s="1736"/>
      <c r="K23" s="1737"/>
      <c r="L23" s="1736"/>
      <c r="M23" s="1737"/>
      <c r="N23" s="1736"/>
      <c r="O23" s="54"/>
      <c r="P23" s="54"/>
    </row>
    <row r="24" spans="1:17" ht="27.75" customHeight="1" x14ac:dyDescent="0.2">
      <c r="A24" s="1735"/>
      <c r="B24" s="1736"/>
      <c r="C24" s="1737"/>
      <c r="D24" s="1736"/>
      <c r="E24" s="1737"/>
      <c r="F24" s="1736"/>
      <c r="G24" s="1737"/>
      <c r="H24" s="1736"/>
      <c r="I24" s="1737"/>
      <c r="J24" s="1736"/>
      <c r="K24" s="1737"/>
      <c r="L24" s="1736"/>
      <c r="M24" s="1737"/>
      <c r="N24" s="1736"/>
      <c r="O24" s="54"/>
      <c r="P24" s="54"/>
    </row>
    <row r="25" spans="1:17" ht="27.75" customHeight="1" x14ac:dyDescent="0.2">
      <c r="A25" s="1735"/>
      <c r="B25" s="1736"/>
      <c r="C25" s="1737"/>
      <c r="D25" s="1736"/>
      <c r="E25" s="1737"/>
      <c r="F25" s="1736"/>
      <c r="G25" s="1737"/>
      <c r="H25" s="1736"/>
      <c r="I25" s="1737"/>
      <c r="J25" s="1736"/>
      <c r="K25" s="1737"/>
      <c r="L25" s="1736"/>
      <c r="M25" s="1737"/>
      <c r="N25" s="1736"/>
      <c r="O25" s="54"/>
      <c r="P25" s="54"/>
    </row>
    <row r="26" spans="1:17" ht="27.75" customHeight="1" x14ac:dyDescent="0.2">
      <c r="A26" s="1735"/>
      <c r="B26" s="1736"/>
      <c r="C26" s="1737"/>
      <c r="D26" s="1736"/>
      <c r="E26" s="1737"/>
      <c r="F26" s="1736"/>
      <c r="G26" s="1737"/>
      <c r="H26" s="1736"/>
      <c r="I26" s="1737"/>
      <c r="J26" s="1736"/>
      <c r="K26" s="1737"/>
      <c r="L26" s="1736"/>
      <c r="M26" s="1737"/>
      <c r="N26" s="1736"/>
      <c r="O26" s="54"/>
      <c r="P26" s="54"/>
    </row>
    <row r="27" spans="1:17" ht="27.75" customHeight="1" x14ac:dyDescent="0.2">
      <c r="A27" s="1735"/>
      <c r="B27" s="1736"/>
      <c r="C27" s="1737"/>
      <c r="D27" s="1736"/>
      <c r="E27" s="1737"/>
      <c r="F27" s="1736"/>
      <c r="G27" s="1737"/>
      <c r="H27" s="1736"/>
      <c r="I27" s="1737"/>
      <c r="J27" s="1736"/>
      <c r="K27" s="1737"/>
      <c r="L27" s="1736"/>
      <c r="M27" s="1737"/>
      <c r="N27" s="1736"/>
      <c r="O27" s="54"/>
      <c r="P27" s="54"/>
    </row>
    <row r="28" spans="1:17" ht="27.75" customHeight="1" x14ac:dyDescent="0.2">
      <c r="A28" s="1735"/>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x14ac:dyDescent="0.2">
      <c r="A30" s="55"/>
      <c r="B30" s="54"/>
      <c r="C30" s="56"/>
      <c r="D30" s="54"/>
      <c r="E30" s="56"/>
      <c r="F30" s="54"/>
      <c r="G30" s="56"/>
      <c r="H30" s="54"/>
      <c r="I30" s="56"/>
      <c r="J30" s="54"/>
      <c r="K30" s="56"/>
      <c r="L30" s="54"/>
      <c r="M30" s="56"/>
      <c r="N30" s="54"/>
      <c r="O30" s="54"/>
      <c r="P30" s="54"/>
    </row>
    <row r="31" spans="1:17" x14ac:dyDescent="0.2">
      <c r="A31" s="55"/>
      <c r="B31" s="54"/>
      <c r="C31" s="54"/>
      <c r="D31" s="54"/>
      <c r="E31" s="54"/>
      <c r="F31" s="54"/>
      <c r="G31" s="54"/>
      <c r="H31" s="54"/>
      <c r="I31" s="54"/>
      <c r="J31" s="54"/>
      <c r="K31" s="54"/>
      <c r="L31" s="54"/>
      <c r="M31" s="54"/>
      <c r="N31" s="54"/>
      <c r="O31" s="54"/>
      <c r="P31" s="54"/>
    </row>
    <row r="32" spans="1:17" x14ac:dyDescent="0.2">
      <c r="A32" s="55"/>
      <c r="B32" s="54"/>
      <c r="C32" s="56"/>
      <c r="D32" s="54"/>
      <c r="E32" s="56"/>
      <c r="F32" s="54"/>
      <c r="G32" s="56"/>
      <c r="H32" s="54"/>
      <c r="I32" s="56"/>
      <c r="J32" s="54"/>
      <c r="K32" s="56"/>
      <c r="L32" s="54"/>
      <c r="M32" s="56"/>
      <c r="N32" s="54"/>
      <c r="O32" s="54"/>
      <c r="P32" s="54"/>
    </row>
    <row r="33" spans="1:17" x14ac:dyDescent="0.2">
      <c r="A33" s="55"/>
      <c r="B33" s="54"/>
      <c r="C33" s="54"/>
      <c r="D33" s="54"/>
      <c r="E33" s="54"/>
      <c r="F33" s="54"/>
      <c r="G33" s="54"/>
      <c r="H33" s="54"/>
      <c r="I33" s="54"/>
      <c r="J33" s="54"/>
      <c r="K33" s="54"/>
      <c r="L33" s="54"/>
      <c r="M33" s="54"/>
      <c r="N33" s="54"/>
      <c r="O33" s="54"/>
      <c r="P33" s="54"/>
    </row>
    <row r="34" spans="1:17" x14ac:dyDescent="0.2">
      <c r="A34" s="55"/>
      <c r="B34" s="54"/>
      <c r="C34" s="56"/>
      <c r="D34" s="54"/>
      <c r="E34" s="56"/>
      <c r="F34" s="54"/>
      <c r="G34" s="56"/>
      <c r="H34" s="54"/>
      <c r="I34" s="56"/>
      <c r="J34" s="54"/>
      <c r="K34" s="56"/>
      <c r="L34" s="54"/>
      <c r="M34" s="56"/>
      <c r="N34" s="54"/>
      <c r="O34" s="54"/>
      <c r="P34" s="54"/>
    </row>
    <row r="35" spans="1:17" x14ac:dyDescent="0.2">
      <c r="A35" s="55"/>
      <c r="B35" s="54"/>
      <c r="C35" s="54"/>
      <c r="D35" s="54"/>
      <c r="E35" s="54"/>
      <c r="F35" s="54"/>
      <c r="G35" s="54"/>
      <c r="H35" s="54"/>
      <c r="I35" s="54"/>
      <c r="J35" s="54"/>
      <c r="K35" s="54"/>
      <c r="L35" s="54"/>
      <c r="M35" s="54"/>
      <c r="N35" s="54"/>
      <c r="O35" s="54"/>
      <c r="P35" s="54"/>
    </row>
    <row r="36" spans="1:17" x14ac:dyDescent="0.2">
      <c r="A36" s="55"/>
      <c r="B36" s="54"/>
      <c r="C36" s="54"/>
      <c r="D36" s="54"/>
      <c r="E36" s="54"/>
      <c r="F36" s="54"/>
      <c r="G36" s="54"/>
      <c r="H36" s="54"/>
      <c r="I36" s="54"/>
      <c r="J36" s="54"/>
      <c r="K36" s="54"/>
      <c r="L36" s="54"/>
      <c r="M36" s="54"/>
      <c r="N36" s="54"/>
      <c r="O36" s="54"/>
      <c r="P36" s="54"/>
    </row>
    <row r="37" spans="1:17" x14ac:dyDescent="0.2">
      <c r="A37" s="55"/>
      <c r="B37" s="54"/>
      <c r="C37" s="54"/>
      <c r="D37" s="54"/>
      <c r="E37" s="54"/>
      <c r="F37" s="54"/>
      <c r="G37" s="54"/>
      <c r="H37" s="54"/>
      <c r="I37" s="54"/>
      <c r="J37" s="54"/>
      <c r="K37" s="54"/>
      <c r="L37" s="54"/>
      <c r="M37" s="54"/>
      <c r="N37" s="54"/>
      <c r="O37" s="54"/>
      <c r="P37" s="54"/>
      <c r="Q37" s="57"/>
    </row>
    <row r="38" spans="1:17" x14ac:dyDescent="0.2">
      <c r="B38" s="25"/>
      <c r="C38" s="25"/>
      <c r="D38" s="25"/>
      <c r="E38" s="58"/>
      <c r="F38" s="58"/>
      <c r="G38" s="58"/>
      <c r="H38" s="58"/>
    </row>
    <row r="39" spans="1:17" x14ac:dyDescent="0.2">
      <c r="B39" s="25"/>
      <c r="C39" s="25"/>
      <c r="D39" s="25"/>
      <c r="E39" s="58"/>
      <c r="F39" s="58"/>
      <c r="G39" s="58"/>
      <c r="H39" s="58"/>
    </row>
    <row r="40" spans="1:17" x14ac:dyDescent="0.2">
      <c r="B40" s="25"/>
      <c r="C40" s="25"/>
      <c r="D40" s="25"/>
      <c r="E40" s="58"/>
      <c r="F40" s="58"/>
      <c r="G40" s="58"/>
      <c r="H40" s="58"/>
    </row>
    <row r="41" spans="1:17" x14ac:dyDescent="0.2">
      <c r="B41" s="25"/>
      <c r="C41" s="25"/>
      <c r="D41" s="25"/>
      <c r="E41" s="58"/>
      <c r="F41" s="58"/>
      <c r="G41" s="58"/>
      <c r="H41" s="58"/>
    </row>
    <row r="42" spans="1:17" x14ac:dyDescent="0.2">
      <c r="B42" s="25"/>
      <c r="C42" s="25"/>
      <c r="D42" s="25"/>
      <c r="E42" s="58"/>
      <c r="F42" s="58"/>
      <c r="G42" s="58"/>
      <c r="H42" s="58"/>
    </row>
    <row r="43" spans="1:17" x14ac:dyDescent="0.2">
      <c r="B43" s="25"/>
      <c r="C43" s="25"/>
      <c r="D43" s="25"/>
      <c r="E43" s="58"/>
      <c r="F43" s="58"/>
      <c r="G43" s="58"/>
      <c r="H43" s="58"/>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sheetData>
  <mergeCells count="9">
    <mergeCell ref="A28:N28"/>
    <mergeCell ref="A29:N29"/>
    <mergeCell ref="K2:K3"/>
    <mergeCell ref="A22:N22"/>
    <mergeCell ref="A23:N23"/>
    <mergeCell ref="A24:N24"/>
    <mergeCell ref="A25:N25"/>
    <mergeCell ref="A26:N26"/>
    <mergeCell ref="A27:N27"/>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rintOptions horizontalCentered="1"/>
  <pageMargins left="0.25" right="0.25" top="1" bottom="1" header="0.5" footer="0.5"/>
  <pageSetup scale="85" fitToHeight="99" pageOrder="overThenDown" orientation="portrait" blackAndWhite="1"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6">
    <pageSetUpPr fitToPage="1"/>
  </sheetPr>
  <dimension ref="A1:Q8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4.57031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2505</v>
      </c>
      <c r="C4" s="10" t="s">
        <v>67</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row>
    <row r="11" spans="1:16" s="37" customFormat="1" x14ac:dyDescent="0.2">
      <c r="A11" s="35" t="s">
        <v>2509</v>
      </c>
      <c r="B11" s="36"/>
      <c r="C11" s="87"/>
      <c r="D11" s="87"/>
    </row>
    <row r="12" spans="1:16" s="40" customFormat="1" hidden="1" x14ac:dyDescent="0.2">
      <c r="A12" s="41" t="s">
        <v>2510</v>
      </c>
      <c r="B12" s="39"/>
      <c r="C12" s="76">
        <v>2337777</v>
      </c>
      <c r="D12" s="76"/>
      <c r="E12" s="76">
        <v>2360000</v>
      </c>
      <c r="F12" s="77"/>
      <c r="G12" s="76">
        <v>2380000</v>
      </c>
      <c r="I12" s="76">
        <v>2380000</v>
      </c>
      <c r="M12" s="77"/>
    </row>
    <row r="13" spans="1:16" s="40" customFormat="1" x14ac:dyDescent="0.2">
      <c r="A13" s="41" t="s">
        <v>2511</v>
      </c>
      <c r="B13" s="39"/>
      <c r="C13" s="93">
        <v>1</v>
      </c>
      <c r="D13" s="93"/>
      <c r="E13" s="93">
        <v>1</v>
      </c>
      <c r="F13" s="84"/>
      <c r="G13" s="93">
        <v>1</v>
      </c>
      <c r="H13" s="84"/>
      <c r="I13" s="93">
        <v>1</v>
      </c>
      <c r="J13" s="84"/>
      <c r="K13" s="93">
        <v>1</v>
      </c>
      <c r="M13" s="84"/>
    </row>
    <row r="14" spans="1:16" s="40" customFormat="1" x14ac:dyDescent="0.2">
      <c r="A14" s="38"/>
      <c r="B14" s="39"/>
      <c r="C14" s="63"/>
      <c r="D14" s="63"/>
      <c r="K14" s="63"/>
    </row>
    <row r="15" spans="1:16" s="37" customFormat="1" x14ac:dyDescent="0.2">
      <c r="A15" s="35" t="s">
        <v>194</v>
      </c>
      <c r="B15" s="36"/>
      <c r="C15" s="87"/>
      <c r="D15" s="87"/>
      <c r="K15" s="87"/>
    </row>
    <row r="16" spans="1:16" s="37" customFormat="1" x14ac:dyDescent="0.2">
      <c r="A16" s="35" t="s">
        <v>195</v>
      </c>
      <c r="B16" s="36"/>
      <c r="C16" s="87"/>
      <c r="D16" s="87"/>
      <c r="K16" s="87"/>
    </row>
    <row r="17" spans="1:17" s="40" customFormat="1" x14ac:dyDescent="0.2">
      <c r="A17" s="38" t="s">
        <v>196</v>
      </c>
      <c r="B17" s="39"/>
      <c r="C17" s="63"/>
      <c r="D17" s="63"/>
      <c r="K17" s="63"/>
    </row>
    <row r="18" spans="1:17" s="40" customFormat="1" x14ac:dyDescent="0.2">
      <c r="A18" s="41" t="s">
        <v>197</v>
      </c>
      <c r="B18" s="39"/>
      <c r="C18" s="528">
        <v>132</v>
      </c>
      <c r="D18" s="528"/>
      <c r="E18" s="528">
        <v>130</v>
      </c>
      <c r="F18" s="528"/>
      <c r="G18" s="528">
        <v>129</v>
      </c>
      <c r="H18" s="528"/>
      <c r="I18" s="528">
        <v>131</v>
      </c>
      <c r="J18" s="528"/>
      <c r="K18" s="528">
        <v>132</v>
      </c>
      <c r="M18" s="62"/>
    </row>
    <row r="19" spans="1:17" s="40" customFormat="1" x14ac:dyDescent="0.2">
      <c r="A19" s="41" t="s">
        <v>198</v>
      </c>
      <c r="B19" s="39"/>
      <c r="C19" s="528">
        <v>132</v>
      </c>
      <c r="D19" s="528"/>
      <c r="E19" s="528">
        <f>E18</f>
        <v>130</v>
      </c>
      <c r="F19" s="528"/>
      <c r="G19" s="528">
        <v>129</v>
      </c>
      <c r="H19" s="528"/>
      <c r="I19" s="528">
        <f>I18</f>
        <v>131</v>
      </c>
      <c r="J19" s="528"/>
      <c r="K19" s="528">
        <f>K18</f>
        <v>132</v>
      </c>
      <c r="M19" s="62"/>
    </row>
    <row r="20" spans="1:17" s="40" customFormat="1" x14ac:dyDescent="0.2">
      <c r="A20" s="38" t="s">
        <v>199</v>
      </c>
      <c r="B20" s="39"/>
      <c r="C20" s="528"/>
      <c r="D20" s="528"/>
      <c r="E20" s="528"/>
      <c r="F20" s="528"/>
      <c r="G20" s="528"/>
      <c r="H20" s="528"/>
      <c r="I20" s="528"/>
      <c r="J20" s="528"/>
      <c r="K20" s="528"/>
    </row>
    <row r="21" spans="1:17" s="40" customFormat="1" x14ac:dyDescent="0.2">
      <c r="A21" s="41" t="s">
        <v>2512</v>
      </c>
      <c r="B21" s="39"/>
      <c r="C21" s="528">
        <v>7</v>
      </c>
      <c r="D21" s="528"/>
      <c r="E21" s="528">
        <v>8</v>
      </c>
      <c r="F21" s="528"/>
      <c r="G21" s="528">
        <v>8</v>
      </c>
      <c r="H21" s="528"/>
      <c r="I21" s="528">
        <v>7</v>
      </c>
      <c r="J21" s="528"/>
      <c r="K21" s="528">
        <v>8</v>
      </c>
      <c r="M21" s="62"/>
    </row>
    <row r="22" spans="1:17" s="40" customFormat="1" x14ac:dyDescent="0.2">
      <c r="A22" s="41" t="s">
        <v>2509</v>
      </c>
      <c r="B22" s="39"/>
      <c r="C22" s="528">
        <v>125</v>
      </c>
      <c r="D22" s="528"/>
      <c r="E22" s="528">
        <v>122</v>
      </c>
      <c r="F22" s="528"/>
      <c r="G22" s="528">
        <v>121</v>
      </c>
      <c r="H22" s="528"/>
      <c r="I22" s="528">
        <v>124</v>
      </c>
      <c r="J22" s="528"/>
      <c r="K22" s="528">
        <v>124</v>
      </c>
      <c r="M22" s="62"/>
    </row>
    <row r="23" spans="1:17" s="40" customFormat="1" x14ac:dyDescent="0.2">
      <c r="A23" s="41" t="s">
        <v>198</v>
      </c>
      <c r="B23" s="39"/>
      <c r="C23" s="528">
        <v>132</v>
      </c>
      <c r="D23" s="528"/>
      <c r="E23" s="528">
        <f>SUM(E21:E22)</f>
        <v>130</v>
      </c>
      <c r="F23" s="528"/>
      <c r="G23" s="528">
        <v>129</v>
      </c>
      <c r="H23" s="528"/>
      <c r="I23" s="528">
        <f>SUM(I21:I22)</f>
        <v>131</v>
      </c>
      <c r="J23" s="528"/>
      <c r="K23" s="528">
        <f>SUM(K21:K22)</f>
        <v>132</v>
      </c>
      <c r="M23" s="528"/>
    </row>
    <row r="24" spans="1:17" s="37" customFormat="1" x14ac:dyDescent="0.2">
      <c r="A24" s="35"/>
      <c r="B24" s="36"/>
      <c r="C24" s="528"/>
      <c r="D24" s="528"/>
      <c r="E24" s="528"/>
      <c r="F24" s="528"/>
      <c r="G24" s="528"/>
      <c r="H24" s="528"/>
      <c r="I24" s="528"/>
      <c r="J24" s="528"/>
      <c r="K24" s="528"/>
    </row>
    <row r="25" spans="1:17" s="48" customFormat="1" x14ac:dyDescent="0.2">
      <c r="A25" s="46"/>
      <c r="B25" s="47"/>
    </row>
    <row r="26" spans="1:17" s="48" customFormat="1" x14ac:dyDescent="0.2">
      <c r="A26" s="49" t="s">
        <v>200</v>
      </c>
      <c r="B26" s="50"/>
      <c r="C26" s="51"/>
      <c r="D26" s="52"/>
      <c r="E26" s="53"/>
      <c r="F26" s="52"/>
      <c r="G26" s="53"/>
      <c r="H26" s="52"/>
      <c r="I26" s="53"/>
      <c r="J26" s="52"/>
      <c r="K26" s="53"/>
      <c r="L26" s="52"/>
      <c r="M26" s="51"/>
      <c r="N26" s="52"/>
    </row>
    <row r="27" spans="1:17" ht="27.75" customHeight="1" x14ac:dyDescent="0.2">
      <c r="A27" s="1738" t="s">
        <v>2513</v>
      </c>
      <c r="B27" s="1736"/>
      <c r="C27" s="1737"/>
      <c r="D27" s="1736"/>
      <c r="E27" s="1737"/>
      <c r="F27" s="1736"/>
      <c r="G27" s="1737"/>
      <c r="H27" s="1736"/>
      <c r="I27" s="1737"/>
      <c r="J27" s="1736"/>
      <c r="K27" s="1737"/>
      <c r="L27" s="1736"/>
      <c r="M27" s="1737"/>
      <c r="N27" s="1736"/>
      <c r="O27" s="54"/>
      <c r="P27" s="54"/>
      <c r="Q27" s="951"/>
    </row>
    <row r="28" spans="1:17" ht="27.75" customHeight="1" x14ac:dyDescent="0.2">
      <c r="A28" s="1738" t="s">
        <v>2514</v>
      </c>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ht="27.75" customHeight="1" x14ac:dyDescent="0.2">
      <c r="A30" s="1735"/>
      <c r="B30" s="1736"/>
      <c r="C30" s="1737"/>
      <c r="D30" s="1736"/>
      <c r="E30" s="1737"/>
      <c r="F30" s="1736"/>
      <c r="G30" s="1737"/>
      <c r="H30" s="1736"/>
      <c r="I30" s="1737"/>
      <c r="J30" s="1736"/>
      <c r="K30" s="1737"/>
      <c r="L30" s="1736"/>
      <c r="M30" s="1737"/>
      <c r="N30" s="1736"/>
      <c r="O30" s="54"/>
      <c r="P30" s="54"/>
    </row>
    <row r="31" spans="1:17" ht="27.75" customHeight="1" x14ac:dyDescent="0.2">
      <c r="A31" s="1735"/>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x14ac:dyDescent="0.2">
      <c r="A36" s="55"/>
      <c r="B36" s="54"/>
      <c r="C36" s="56"/>
      <c r="D36" s="54"/>
      <c r="E36" s="56"/>
      <c r="F36" s="54"/>
      <c r="G36" s="56"/>
      <c r="H36" s="54"/>
      <c r="I36" s="56"/>
      <c r="J36" s="54"/>
      <c r="K36" s="56"/>
      <c r="L36" s="54"/>
      <c r="M36" s="56"/>
      <c r="N36" s="54"/>
      <c r="O36" s="54"/>
      <c r="P36" s="54"/>
    </row>
    <row r="37" spans="1:17" x14ac:dyDescent="0.2">
      <c r="A37" s="55"/>
      <c r="B37" s="54"/>
      <c r="C37" s="54"/>
      <c r="D37" s="54"/>
      <c r="E37" s="54"/>
      <c r="F37" s="54"/>
      <c r="G37" s="54"/>
      <c r="H37" s="54"/>
      <c r="I37" s="54"/>
      <c r="J37" s="54"/>
      <c r="K37" s="54"/>
      <c r="L37" s="54"/>
      <c r="M37" s="54"/>
      <c r="N37" s="54"/>
      <c r="O37" s="54"/>
      <c r="P37" s="54"/>
    </row>
    <row r="38" spans="1:17" x14ac:dyDescent="0.2">
      <c r="A38" s="55"/>
      <c r="B38" s="54"/>
      <c r="C38" s="56"/>
      <c r="D38" s="54"/>
      <c r="E38" s="56"/>
      <c r="F38" s="54"/>
      <c r="G38" s="56"/>
      <c r="H38" s="54"/>
      <c r="I38" s="56"/>
      <c r="J38" s="54"/>
      <c r="K38" s="56"/>
      <c r="L38" s="54"/>
      <c r="M38" s="56"/>
      <c r="N38" s="54"/>
      <c r="O38" s="54"/>
      <c r="P38" s="54"/>
    </row>
    <row r="39" spans="1:17" x14ac:dyDescent="0.2">
      <c r="A39" s="55"/>
      <c r="B39" s="54"/>
      <c r="C39" s="54"/>
      <c r="D39" s="54"/>
      <c r="E39" s="54"/>
      <c r="F39" s="54"/>
      <c r="G39" s="54"/>
      <c r="H39" s="54"/>
      <c r="I39" s="54"/>
      <c r="J39" s="54"/>
      <c r="K39" s="54"/>
      <c r="L39" s="54"/>
      <c r="M39" s="54"/>
      <c r="N39" s="54"/>
      <c r="O39" s="54"/>
      <c r="P39" s="54"/>
    </row>
    <row r="40" spans="1:17" x14ac:dyDescent="0.2">
      <c r="A40" s="55"/>
      <c r="B40" s="54"/>
      <c r="C40" s="56"/>
      <c r="D40" s="54"/>
      <c r="E40" s="56"/>
      <c r="F40" s="54"/>
      <c r="G40" s="56"/>
      <c r="H40" s="54"/>
      <c r="I40" s="56"/>
      <c r="J40" s="54"/>
      <c r="K40" s="56"/>
      <c r="L40" s="54"/>
      <c r="M40" s="56"/>
      <c r="N40" s="54"/>
      <c r="O40" s="54"/>
      <c r="P40" s="54"/>
    </row>
    <row r="41" spans="1:17" x14ac:dyDescent="0.2">
      <c r="A41" s="55"/>
      <c r="B41" s="54"/>
      <c r="C41" s="54"/>
      <c r="D41" s="54"/>
      <c r="E41" s="54"/>
      <c r="F41" s="54"/>
      <c r="G41" s="54"/>
      <c r="H41" s="54"/>
      <c r="I41" s="54"/>
      <c r="J41" s="54"/>
      <c r="K41" s="54"/>
      <c r="L41" s="54"/>
      <c r="M41" s="54"/>
      <c r="N41" s="54"/>
      <c r="O41" s="54"/>
      <c r="P41" s="54"/>
    </row>
    <row r="42" spans="1:17" x14ac:dyDescent="0.2">
      <c r="A42" s="55"/>
      <c r="B42" s="54"/>
      <c r="C42" s="54"/>
      <c r="D42" s="54"/>
      <c r="E42" s="54"/>
      <c r="F42" s="54"/>
      <c r="G42" s="54"/>
      <c r="H42" s="54"/>
      <c r="I42" s="54"/>
      <c r="J42" s="54"/>
      <c r="K42" s="54"/>
      <c r="L42" s="54"/>
      <c r="M42" s="54"/>
      <c r="N42" s="54"/>
      <c r="O42" s="54"/>
      <c r="P42" s="54"/>
    </row>
    <row r="43" spans="1:17" x14ac:dyDescent="0.2">
      <c r="A43" s="55"/>
      <c r="B43" s="54"/>
      <c r="C43" s="54"/>
      <c r="D43" s="54"/>
      <c r="E43" s="54"/>
      <c r="F43" s="54"/>
      <c r="G43" s="54"/>
      <c r="H43" s="54"/>
      <c r="I43" s="54"/>
      <c r="J43" s="54"/>
      <c r="K43" s="54"/>
      <c r="L43" s="54"/>
      <c r="M43" s="54"/>
      <c r="N43" s="54"/>
      <c r="O43" s="54"/>
      <c r="P43" s="54"/>
      <c r="Q43" s="57"/>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sheetData>
  <mergeCells count="10">
    <mergeCell ref="A33:N33"/>
    <mergeCell ref="A34:N34"/>
    <mergeCell ref="A35:N35"/>
    <mergeCell ref="K2:K3"/>
    <mergeCell ref="A27:N27"/>
    <mergeCell ref="A28:N28"/>
    <mergeCell ref="A29:N29"/>
    <mergeCell ref="A30:N30"/>
    <mergeCell ref="A31:N31"/>
    <mergeCell ref="A32:N32"/>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rintOptions horizontalCentered="1"/>
  <pageMargins left="0.25" right="0.25" top="1" bottom="1" header="0.5" footer="0.5"/>
  <pageSetup scale="85" fitToHeight="99" pageOrder="overThenDown" orientation="portrait" blackAndWhite="1"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7">
    <pageSetUpPr fitToPage="1"/>
  </sheetPr>
  <dimension ref="A1:Q21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9.85546875" style="25" customWidth="1"/>
    <col min="2" max="2" width="7.28515625" style="26" customWidth="1"/>
    <col min="3" max="3" width="14.42578125" style="61" customWidth="1"/>
    <col min="4" max="4" width="3" style="61" customWidth="1"/>
    <col min="5" max="5" width="14.42578125" style="59" bestFit="1" customWidth="1"/>
    <col min="6" max="6" width="2.7109375" style="60" customWidth="1"/>
    <col min="7" max="7" width="13.7109375" style="59" hidden="1" customWidth="1"/>
    <col min="8" max="8" width="3.140625" style="60" hidden="1" customWidth="1"/>
    <col min="9" max="9" width="13.7109375" style="59" customWidth="1"/>
    <col min="10" max="10" width="2.7109375" style="60" customWidth="1"/>
    <col min="11" max="11" width="14.28515625" style="59" customWidth="1"/>
    <col min="12" max="12" width="2.7109375" style="60" customWidth="1"/>
    <col min="13" max="13" width="13.7109375" style="59" hidden="1" customWidth="1"/>
    <col min="14" max="14" width="5.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2515</v>
      </c>
      <c r="B4" s="10" t="s">
        <v>2516</v>
      </c>
      <c r="C4" s="10" t="s">
        <v>68</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63"/>
      <c r="D10" s="63"/>
    </row>
    <row r="11" spans="1:16" s="37" customFormat="1" x14ac:dyDescent="0.2">
      <c r="A11" s="35" t="s">
        <v>2517</v>
      </c>
      <c r="B11" s="36"/>
      <c r="C11" s="63"/>
      <c r="D11" s="63"/>
    </row>
    <row r="12" spans="1:16" s="40" customFormat="1" x14ac:dyDescent="0.2">
      <c r="A12" s="41" t="s">
        <v>2518</v>
      </c>
      <c r="B12" s="39"/>
      <c r="C12" s="63"/>
      <c r="D12" s="63"/>
    </row>
    <row r="13" spans="1:16" s="40" customFormat="1" x14ac:dyDescent="0.2">
      <c r="A13" s="90" t="s">
        <v>2519</v>
      </c>
      <c r="B13" s="39"/>
      <c r="C13" s="76">
        <v>3086507</v>
      </c>
      <c r="D13" s="63"/>
      <c r="E13" s="76">
        <v>2784545</v>
      </c>
      <c r="F13" s="63"/>
      <c r="G13" s="901">
        <v>3000000</v>
      </c>
      <c r="I13" s="76">
        <v>2900000</v>
      </c>
      <c r="K13" s="76">
        <v>2900000</v>
      </c>
      <c r="M13" s="901"/>
    </row>
    <row r="14" spans="1:16" s="40" customFormat="1" x14ac:dyDescent="0.2">
      <c r="A14" s="90" t="s">
        <v>2520</v>
      </c>
      <c r="B14" s="39"/>
      <c r="C14" s="76">
        <v>43430</v>
      </c>
      <c r="D14" s="63"/>
      <c r="E14" s="76">
        <v>42258</v>
      </c>
      <c r="F14" s="63"/>
      <c r="G14" s="76">
        <v>44000</v>
      </c>
      <c r="I14" s="76">
        <v>44000</v>
      </c>
      <c r="K14" s="76">
        <v>44000</v>
      </c>
      <c r="M14" s="76"/>
    </row>
    <row r="15" spans="1:16" s="40" customFormat="1" x14ac:dyDescent="0.2">
      <c r="A15" s="90" t="s">
        <v>2521</v>
      </c>
      <c r="B15" s="39"/>
      <c r="C15" s="100">
        <v>1.4999999999999999E-2</v>
      </c>
      <c r="D15" s="63"/>
      <c r="E15" s="100">
        <v>1.4999999999999999E-2</v>
      </c>
      <c r="F15" s="63"/>
      <c r="G15" s="100">
        <v>1.4999999999999999E-2</v>
      </c>
      <c r="I15" s="100">
        <v>1.4999999999999999E-2</v>
      </c>
      <c r="K15" s="100">
        <v>1.4999999999999999E-2</v>
      </c>
      <c r="M15" s="100"/>
    </row>
    <row r="16" spans="1:16" s="40" customFormat="1" x14ac:dyDescent="0.2">
      <c r="A16" s="90" t="s">
        <v>2522</v>
      </c>
      <c r="B16" s="39"/>
      <c r="C16" s="76">
        <v>38285</v>
      </c>
      <c r="D16" s="63"/>
      <c r="E16" s="76">
        <v>42904</v>
      </c>
      <c r="F16" s="63"/>
      <c r="G16" s="76">
        <v>41500</v>
      </c>
      <c r="I16" s="76">
        <v>44000</v>
      </c>
      <c r="K16" s="76">
        <v>44000</v>
      </c>
      <c r="M16" s="76"/>
    </row>
    <row r="17" spans="1:13" s="40" customFormat="1" x14ac:dyDescent="0.2">
      <c r="A17" s="41" t="s">
        <v>2523</v>
      </c>
      <c r="B17" s="39"/>
      <c r="C17" s="63"/>
      <c r="D17" s="63"/>
      <c r="E17" s="63"/>
      <c r="F17" s="63"/>
      <c r="G17" s="63"/>
      <c r="I17" s="63"/>
      <c r="K17" s="63"/>
      <c r="M17" s="63"/>
    </row>
    <row r="18" spans="1:13" s="40" customFormat="1" x14ac:dyDescent="0.2">
      <c r="A18" s="90" t="s">
        <v>2519</v>
      </c>
      <c r="B18" s="39"/>
      <c r="C18" s="76">
        <v>1315</v>
      </c>
      <c r="D18" s="63"/>
      <c r="E18" s="76">
        <v>1090</v>
      </c>
      <c r="F18" s="63"/>
      <c r="G18" s="76">
        <v>1300</v>
      </c>
      <c r="I18" s="76">
        <v>1000</v>
      </c>
      <c r="K18" s="76">
        <v>1000</v>
      </c>
      <c r="M18" s="76"/>
    </row>
    <row r="19" spans="1:13" s="40" customFormat="1" x14ac:dyDescent="0.2">
      <c r="A19" s="90" t="s">
        <v>2524</v>
      </c>
      <c r="B19" s="39"/>
      <c r="C19" s="76">
        <v>10315</v>
      </c>
      <c r="D19" s="63"/>
      <c r="E19" s="76">
        <v>9530</v>
      </c>
      <c r="F19" s="63"/>
      <c r="G19" s="901">
        <v>10300</v>
      </c>
      <c r="I19" s="76">
        <v>9500</v>
      </c>
      <c r="K19" s="76">
        <v>9500</v>
      </c>
      <c r="M19" s="901"/>
    </row>
    <row r="20" spans="1:13" s="40" customFormat="1" x14ac:dyDescent="0.2">
      <c r="A20" s="41" t="s">
        <v>2525</v>
      </c>
      <c r="B20" s="39"/>
      <c r="C20" s="63"/>
      <c r="D20" s="63"/>
      <c r="E20" s="63"/>
      <c r="F20" s="63"/>
      <c r="G20" s="76"/>
      <c r="I20" s="63"/>
      <c r="K20" s="63"/>
      <c r="M20" s="65"/>
    </row>
    <row r="21" spans="1:13" s="40" customFormat="1" x14ac:dyDescent="0.2">
      <c r="A21" s="90" t="s">
        <v>2519</v>
      </c>
      <c r="B21" s="39"/>
      <c r="C21" s="76">
        <v>7784</v>
      </c>
      <c r="D21" s="63"/>
      <c r="E21" s="76">
        <v>17138</v>
      </c>
      <c r="F21" s="63"/>
      <c r="G21" s="901">
        <v>8300</v>
      </c>
      <c r="I21" s="76">
        <v>17200</v>
      </c>
      <c r="K21" s="76">
        <v>17250</v>
      </c>
      <c r="M21" s="901"/>
    </row>
    <row r="22" spans="1:13" s="40" customFormat="1" x14ac:dyDescent="0.2">
      <c r="A22" s="90" t="s">
        <v>2524</v>
      </c>
      <c r="B22" s="39"/>
      <c r="C22" s="76">
        <v>184289</v>
      </c>
      <c r="D22" s="63"/>
      <c r="E22" s="76">
        <v>143662</v>
      </c>
      <c r="F22" s="63"/>
      <c r="G22" s="76">
        <v>175000</v>
      </c>
      <c r="I22" s="76">
        <v>145000</v>
      </c>
      <c r="K22" s="76">
        <v>150000</v>
      </c>
      <c r="M22" s="76"/>
    </row>
    <row r="23" spans="1:13" s="40" customFormat="1" x14ac:dyDescent="0.2">
      <c r="A23" s="41" t="s">
        <v>2526</v>
      </c>
      <c r="B23" s="39"/>
      <c r="C23" s="63"/>
      <c r="D23" s="63"/>
      <c r="E23" s="63"/>
      <c r="F23" s="63"/>
      <c r="G23" s="63"/>
      <c r="I23" s="63"/>
      <c r="K23" s="63"/>
      <c r="M23" s="63"/>
    </row>
    <row r="24" spans="1:13" s="40" customFormat="1" x14ac:dyDescent="0.2">
      <c r="A24" s="90" t="s">
        <v>2527</v>
      </c>
      <c r="B24" s="39"/>
      <c r="C24" s="63"/>
      <c r="D24" s="63"/>
      <c r="E24" s="63"/>
      <c r="F24" s="63"/>
      <c r="G24" s="63"/>
      <c r="I24" s="63"/>
      <c r="K24" s="63"/>
      <c r="M24" s="63"/>
    </row>
    <row r="25" spans="1:13" s="40" customFormat="1" x14ac:dyDescent="0.2">
      <c r="A25" s="131" t="s">
        <v>2528</v>
      </c>
      <c r="B25" s="39"/>
      <c r="C25" s="76">
        <v>326</v>
      </c>
      <c r="D25" s="63"/>
      <c r="E25" s="76">
        <v>317</v>
      </c>
      <c r="F25" s="63"/>
      <c r="G25" s="76">
        <v>347</v>
      </c>
      <c r="I25" s="76">
        <v>341</v>
      </c>
      <c r="K25" s="76">
        <v>331</v>
      </c>
      <c r="M25" s="76"/>
    </row>
    <row r="26" spans="1:13" s="40" customFormat="1" x14ac:dyDescent="0.2">
      <c r="A26" s="131" t="s">
        <v>2529</v>
      </c>
      <c r="B26" s="39"/>
      <c r="C26" s="76">
        <v>697252157</v>
      </c>
      <c r="D26" s="63"/>
      <c r="E26" s="76">
        <v>690810818</v>
      </c>
      <c r="F26" s="63"/>
      <c r="G26" s="611">
        <v>513500000</v>
      </c>
      <c r="I26" s="76">
        <v>474000000</v>
      </c>
      <c r="K26" s="76">
        <v>458000000</v>
      </c>
      <c r="M26" s="611"/>
    </row>
    <row r="27" spans="1:13" s="40" customFormat="1" x14ac:dyDescent="0.2">
      <c r="A27" s="131" t="s">
        <v>2530</v>
      </c>
      <c r="B27" s="39"/>
      <c r="C27" s="76">
        <v>119540</v>
      </c>
      <c r="D27" s="63"/>
      <c r="E27" s="76">
        <v>116133</v>
      </c>
      <c r="F27" s="63"/>
      <c r="G27" s="76">
        <v>124000</v>
      </c>
      <c r="I27" s="76">
        <v>138000</v>
      </c>
      <c r="K27" s="76">
        <v>136000</v>
      </c>
      <c r="M27" s="76"/>
    </row>
    <row r="28" spans="1:13" s="40" customFormat="1" x14ac:dyDescent="0.2">
      <c r="A28" s="131" t="s">
        <v>2531</v>
      </c>
      <c r="B28" s="39"/>
      <c r="C28" s="1708">
        <v>1706149</v>
      </c>
      <c r="D28" s="63"/>
      <c r="E28" s="1708">
        <v>1415422</v>
      </c>
      <c r="F28" s="63"/>
      <c r="G28" s="611">
        <v>1500000</v>
      </c>
      <c r="I28" s="1708">
        <v>1500000</v>
      </c>
      <c r="K28" s="1708">
        <v>1500000</v>
      </c>
      <c r="M28" s="1267"/>
    </row>
    <row r="29" spans="1:13" s="40" customFormat="1" x14ac:dyDescent="0.2">
      <c r="A29" s="90" t="s">
        <v>2532</v>
      </c>
      <c r="B29" s="39"/>
      <c r="C29" s="63"/>
      <c r="D29" s="63"/>
      <c r="E29" s="63"/>
      <c r="F29" s="63"/>
      <c r="G29" s="63"/>
      <c r="I29" s="63"/>
      <c r="K29" s="63"/>
      <c r="M29" s="63"/>
    </row>
    <row r="30" spans="1:13" s="40" customFormat="1" x14ac:dyDescent="0.2">
      <c r="A30" s="131" t="s">
        <v>2533</v>
      </c>
      <c r="B30" s="39"/>
      <c r="C30" s="76">
        <v>230</v>
      </c>
      <c r="D30" s="63"/>
      <c r="E30" s="76">
        <v>220</v>
      </c>
      <c r="F30" s="63"/>
      <c r="G30" s="901">
        <v>238</v>
      </c>
      <c r="I30" s="76">
        <v>256</v>
      </c>
      <c r="K30" s="76">
        <v>250</v>
      </c>
      <c r="M30" s="901"/>
    </row>
    <row r="31" spans="1:13" s="40" customFormat="1" x14ac:dyDescent="0.2">
      <c r="A31" s="131" t="s">
        <v>2534</v>
      </c>
      <c r="B31" s="39"/>
      <c r="C31" s="1708">
        <v>422499188</v>
      </c>
      <c r="D31" s="63"/>
      <c r="E31" s="1708">
        <v>386494152</v>
      </c>
      <c r="F31" s="63"/>
      <c r="G31" s="611">
        <v>428400000</v>
      </c>
      <c r="I31" s="1708">
        <v>490000000</v>
      </c>
      <c r="K31" s="1708">
        <v>514000000</v>
      </c>
      <c r="M31" s="611"/>
    </row>
    <row r="32" spans="1:13" s="40" customFormat="1" x14ac:dyDescent="0.2">
      <c r="A32" s="131" t="s">
        <v>2535</v>
      </c>
      <c r="B32" s="39"/>
      <c r="C32" s="76">
        <v>83676</v>
      </c>
      <c r="D32" s="63"/>
      <c r="E32" s="76">
        <v>74603</v>
      </c>
      <c r="F32" s="63"/>
      <c r="G32" s="901">
        <v>86000</v>
      </c>
      <c r="I32" s="76">
        <v>86000</v>
      </c>
      <c r="K32" s="76">
        <v>90000</v>
      </c>
      <c r="M32" s="901"/>
    </row>
    <row r="33" spans="1:13" s="40" customFormat="1" x14ac:dyDescent="0.2">
      <c r="A33" s="131" t="s">
        <v>2536</v>
      </c>
      <c r="B33" s="39"/>
      <c r="C33" s="76">
        <v>1836953</v>
      </c>
      <c r="D33" s="63"/>
      <c r="E33" s="76">
        <v>1756792</v>
      </c>
      <c r="F33" s="63"/>
      <c r="G33" s="901">
        <v>1800000</v>
      </c>
      <c r="I33" s="76">
        <v>1914063</v>
      </c>
      <c r="K33" s="76">
        <v>2056000</v>
      </c>
      <c r="M33" s="1421"/>
    </row>
    <row r="34" spans="1:13" s="40" customFormat="1" x14ac:dyDescent="0.2">
      <c r="A34" s="131" t="s">
        <v>2537</v>
      </c>
      <c r="B34" s="39"/>
      <c r="C34" s="76">
        <v>3474</v>
      </c>
      <c r="D34" s="63"/>
      <c r="E34" s="76">
        <v>3498</v>
      </c>
      <c r="F34" s="63"/>
      <c r="G34" s="901">
        <v>3500</v>
      </c>
      <c r="I34" s="76">
        <v>3800</v>
      </c>
      <c r="K34" s="76">
        <v>4000</v>
      </c>
      <c r="M34" s="901"/>
    </row>
    <row r="35" spans="1:13" s="40" customFormat="1" x14ac:dyDescent="0.2">
      <c r="A35" s="131" t="s">
        <v>2538</v>
      </c>
      <c r="B35" s="39"/>
      <c r="C35" s="76">
        <v>19231</v>
      </c>
      <c r="D35" s="63"/>
      <c r="E35" s="76">
        <v>18218</v>
      </c>
      <c r="F35" s="63"/>
      <c r="G35" s="901">
        <v>19000</v>
      </c>
      <c r="I35" s="76">
        <v>21000</v>
      </c>
      <c r="K35" s="76">
        <v>22000</v>
      </c>
      <c r="M35" s="901"/>
    </row>
    <row r="36" spans="1:13" s="40" customFormat="1" x14ac:dyDescent="0.2">
      <c r="A36" s="131" t="s">
        <v>2539</v>
      </c>
      <c r="B36" s="39"/>
      <c r="C36" s="76">
        <v>16400</v>
      </c>
      <c r="D36" s="63"/>
      <c r="E36" s="76">
        <v>10018</v>
      </c>
      <c r="F36" s="63"/>
      <c r="G36" s="901">
        <v>16600</v>
      </c>
      <c r="I36" s="76">
        <v>11000</v>
      </c>
      <c r="K36" s="76">
        <v>12000</v>
      </c>
      <c r="M36" s="901"/>
    </row>
    <row r="37" spans="1:13" s="40" customFormat="1" x14ac:dyDescent="0.2">
      <c r="A37" s="131" t="s">
        <v>2540</v>
      </c>
      <c r="B37" s="39"/>
      <c r="C37" s="1708">
        <v>184187278</v>
      </c>
      <c r="D37" s="63"/>
      <c r="E37" s="1708">
        <v>234994710</v>
      </c>
      <c r="F37" s="63"/>
      <c r="G37" s="611">
        <v>175000000</v>
      </c>
      <c r="I37" s="1708">
        <v>230000000</v>
      </c>
      <c r="K37" s="1708">
        <v>230000000</v>
      </c>
      <c r="M37" s="611"/>
    </row>
    <row r="38" spans="1:13" s="40" customFormat="1" x14ac:dyDescent="0.2">
      <c r="A38" s="90" t="s">
        <v>2541</v>
      </c>
      <c r="B38" s="39"/>
      <c r="C38" s="63"/>
      <c r="D38" s="63"/>
      <c r="E38" s="63"/>
      <c r="F38" s="63"/>
      <c r="G38" s="63"/>
      <c r="I38" s="63"/>
      <c r="K38" s="63"/>
      <c r="M38" s="63"/>
    </row>
    <row r="39" spans="1:13" s="40" customFormat="1" x14ac:dyDescent="0.2">
      <c r="A39" s="131" t="s">
        <v>2542</v>
      </c>
      <c r="B39" s="39"/>
      <c r="C39" s="76">
        <v>190</v>
      </c>
      <c r="D39" s="63"/>
      <c r="E39" s="76">
        <v>190</v>
      </c>
      <c r="F39" s="63"/>
      <c r="G39" s="901">
        <v>250</v>
      </c>
      <c r="I39" s="76">
        <v>250</v>
      </c>
      <c r="K39" s="76">
        <v>250</v>
      </c>
      <c r="M39" s="901"/>
    </row>
    <row r="40" spans="1:13" s="40" customFormat="1" x14ac:dyDescent="0.2">
      <c r="A40" s="131" t="s">
        <v>2529</v>
      </c>
      <c r="B40" s="39"/>
      <c r="C40" s="1708">
        <v>14923544</v>
      </c>
      <c r="D40" s="63"/>
      <c r="E40" s="1708">
        <v>15000000</v>
      </c>
      <c r="F40" s="63"/>
      <c r="G40" s="611">
        <v>27000000</v>
      </c>
      <c r="I40" s="1708">
        <v>27000000</v>
      </c>
      <c r="K40" s="1708">
        <v>27000000</v>
      </c>
      <c r="M40" s="611"/>
    </row>
    <row r="41" spans="1:13" s="40" customFormat="1" x14ac:dyDescent="0.2">
      <c r="A41" s="90" t="s">
        <v>2543</v>
      </c>
      <c r="B41" s="39"/>
      <c r="C41" s="63"/>
      <c r="D41" s="63"/>
      <c r="E41" s="63"/>
      <c r="F41" s="63"/>
      <c r="G41" s="63"/>
      <c r="I41" s="63"/>
      <c r="K41" s="63"/>
      <c r="M41" s="65"/>
    </row>
    <row r="42" spans="1:13" s="77" customFormat="1" x14ac:dyDescent="0.2">
      <c r="A42" s="980" t="s">
        <v>2544</v>
      </c>
      <c r="B42" s="464"/>
      <c r="C42" s="76">
        <v>327219</v>
      </c>
      <c r="D42" s="76"/>
      <c r="E42" s="76">
        <v>352425</v>
      </c>
      <c r="F42" s="76"/>
      <c r="G42" s="76">
        <v>320000</v>
      </c>
      <c r="I42" s="76">
        <v>375000</v>
      </c>
      <c r="K42" s="76">
        <v>378000</v>
      </c>
      <c r="M42" s="76"/>
    </row>
    <row r="43" spans="1:13" s="40" customFormat="1" x14ac:dyDescent="0.2">
      <c r="A43" s="131" t="s">
        <v>2545</v>
      </c>
      <c r="B43" s="39"/>
      <c r="C43" s="76">
        <v>180569</v>
      </c>
      <c r="D43" s="63"/>
      <c r="E43" s="76">
        <v>170662</v>
      </c>
      <c r="F43" s="63"/>
      <c r="G43" s="901">
        <v>170000</v>
      </c>
      <c r="I43" s="76">
        <v>171000</v>
      </c>
      <c r="K43" s="76">
        <v>172000</v>
      </c>
      <c r="M43" s="901"/>
    </row>
    <row r="44" spans="1:13" s="40" customFormat="1" x14ac:dyDescent="0.2">
      <c r="A44" s="90" t="s">
        <v>2546</v>
      </c>
      <c r="B44" s="39"/>
      <c r="C44" s="63"/>
      <c r="D44" s="63"/>
      <c r="E44" s="63"/>
      <c r="F44" s="63"/>
      <c r="G44" s="63"/>
      <c r="I44" s="63"/>
      <c r="K44" s="63"/>
      <c r="M44" s="63"/>
    </row>
    <row r="45" spans="1:13" s="40" customFormat="1" x14ac:dyDescent="0.2">
      <c r="A45" s="131" t="s">
        <v>2544</v>
      </c>
      <c r="B45" s="39"/>
      <c r="C45" s="76">
        <v>227137</v>
      </c>
      <c r="D45" s="63"/>
      <c r="E45" s="76">
        <v>208385</v>
      </c>
      <c r="F45" s="63"/>
      <c r="G45" s="76">
        <v>215000</v>
      </c>
      <c r="I45" s="76">
        <v>125000</v>
      </c>
      <c r="K45" s="76">
        <v>127000</v>
      </c>
      <c r="M45" s="76"/>
    </row>
    <row r="46" spans="1:13" s="40" customFormat="1" x14ac:dyDescent="0.2">
      <c r="A46" s="131" t="s">
        <v>2545</v>
      </c>
      <c r="B46" s="39"/>
      <c r="C46" s="76">
        <v>72107</v>
      </c>
      <c r="D46" s="63"/>
      <c r="E46" s="76">
        <v>39338</v>
      </c>
      <c r="F46" s="63"/>
      <c r="G46" s="901">
        <v>68000</v>
      </c>
      <c r="I46" s="76">
        <v>40000</v>
      </c>
      <c r="K46" s="76">
        <v>40100</v>
      </c>
      <c r="M46" s="901"/>
    </row>
    <row r="47" spans="1:13" s="40" customFormat="1" x14ac:dyDescent="0.2">
      <c r="A47" s="41" t="s">
        <v>2547</v>
      </c>
      <c r="B47" s="39"/>
      <c r="C47" s="63"/>
      <c r="D47" s="63"/>
      <c r="E47" s="63"/>
      <c r="F47" s="63"/>
      <c r="G47" s="63"/>
      <c r="I47" s="63"/>
      <c r="K47" s="63"/>
      <c r="M47" s="63"/>
    </row>
    <row r="48" spans="1:13" s="40" customFormat="1" x14ac:dyDescent="0.2">
      <c r="A48" s="90" t="s">
        <v>2548</v>
      </c>
      <c r="B48" s="39"/>
      <c r="C48" s="76">
        <v>832</v>
      </c>
      <c r="D48" s="63"/>
      <c r="E48" s="76">
        <v>887</v>
      </c>
      <c r="F48" s="63"/>
      <c r="G48" s="76">
        <v>925</v>
      </c>
      <c r="I48" s="76">
        <v>900</v>
      </c>
      <c r="K48" s="76">
        <v>925</v>
      </c>
      <c r="M48" s="76"/>
    </row>
    <row r="49" spans="1:13" s="40" customFormat="1" x14ac:dyDescent="0.2">
      <c r="A49" s="90" t="s">
        <v>2549</v>
      </c>
      <c r="B49" s="39"/>
      <c r="C49" s="76">
        <v>7346</v>
      </c>
      <c r="D49" s="63"/>
      <c r="E49" s="76">
        <v>8171</v>
      </c>
      <c r="F49" s="63"/>
      <c r="G49" s="901">
        <v>8600</v>
      </c>
      <c r="I49" s="76">
        <v>8500</v>
      </c>
      <c r="K49" s="76">
        <v>8700</v>
      </c>
      <c r="M49" s="901"/>
    </row>
    <row r="50" spans="1:13" s="40" customFormat="1" x14ac:dyDescent="0.2">
      <c r="A50" s="41" t="s">
        <v>2550</v>
      </c>
      <c r="B50" s="39"/>
      <c r="C50" s="63"/>
      <c r="D50" s="63"/>
      <c r="E50" s="63"/>
      <c r="F50" s="63"/>
      <c r="G50" s="63"/>
      <c r="I50" s="63"/>
      <c r="K50" s="63"/>
      <c r="M50" s="63"/>
    </row>
    <row r="51" spans="1:13" s="40" customFormat="1" x14ac:dyDescent="0.2">
      <c r="A51" s="90" t="s">
        <v>2551</v>
      </c>
      <c r="B51" s="39"/>
      <c r="C51" s="76">
        <v>210099</v>
      </c>
      <c r="D51" s="63"/>
      <c r="E51" s="76">
        <v>232782</v>
      </c>
      <c r="F51" s="63"/>
      <c r="G51" s="901">
        <v>254000</v>
      </c>
      <c r="I51" s="76">
        <v>254000</v>
      </c>
      <c r="K51" s="76">
        <v>277000</v>
      </c>
      <c r="M51" s="901"/>
    </row>
    <row r="52" spans="1:13" s="40" customFormat="1" x14ac:dyDescent="0.2">
      <c r="A52" s="90" t="s">
        <v>2552</v>
      </c>
      <c r="B52" s="39"/>
      <c r="C52" s="76">
        <v>140000</v>
      </c>
      <c r="D52" s="63"/>
      <c r="E52" s="76">
        <v>155750</v>
      </c>
      <c r="F52" s="63"/>
      <c r="G52" s="901">
        <v>170000</v>
      </c>
      <c r="I52" s="76">
        <v>170000</v>
      </c>
      <c r="K52" s="76">
        <v>186000</v>
      </c>
      <c r="M52" s="901"/>
    </row>
    <row r="53" spans="1:13" s="37" customFormat="1" x14ac:dyDescent="0.2">
      <c r="A53" s="35" t="s">
        <v>2553</v>
      </c>
      <c r="B53" s="36"/>
      <c r="C53" s="63"/>
      <c r="D53" s="63"/>
      <c r="E53" s="63"/>
      <c r="F53" s="87"/>
      <c r="G53" s="87"/>
      <c r="I53" s="63"/>
      <c r="K53" s="63"/>
      <c r="M53" s="87"/>
    </row>
    <row r="54" spans="1:13" s="40" customFormat="1" x14ac:dyDescent="0.2">
      <c r="A54" s="41" t="s">
        <v>2554</v>
      </c>
      <c r="B54" s="39"/>
      <c r="C54" s="76">
        <v>7230</v>
      </c>
      <c r="D54" s="63"/>
      <c r="E54" s="76">
        <v>7110</v>
      </c>
      <c r="F54" s="63"/>
      <c r="G54" s="76">
        <v>7250</v>
      </c>
      <c r="I54" s="76">
        <v>7500</v>
      </c>
      <c r="K54" s="76">
        <v>7800</v>
      </c>
      <c r="M54" s="76"/>
    </row>
    <row r="55" spans="1:13" s="40" customFormat="1" x14ac:dyDescent="0.2">
      <c r="A55" s="41" t="s">
        <v>2555</v>
      </c>
      <c r="B55" s="39"/>
      <c r="C55" s="76">
        <v>2290</v>
      </c>
      <c r="D55" s="63"/>
      <c r="E55" s="76">
        <v>2601</v>
      </c>
      <c r="F55" s="63"/>
      <c r="G55" s="76">
        <v>2600</v>
      </c>
      <c r="I55" s="76">
        <v>2600</v>
      </c>
      <c r="K55" s="76">
        <v>2600</v>
      </c>
      <c r="M55" s="76"/>
    </row>
    <row r="56" spans="1:13" s="40" customFormat="1" x14ac:dyDescent="0.2">
      <c r="A56" s="124" t="s">
        <v>2556</v>
      </c>
      <c r="B56" s="117"/>
      <c r="C56" s="126">
        <v>3290</v>
      </c>
      <c r="D56" s="111"/>
      <c r="E56" s="126">
        <v>3187</v>
      </c>
      <c r="F56" s="111"/>
      <c r="G56" s="126">
        <v>3351</v>
      </c>
      <c r="I56" s="126">
        <v>3282</v>
      </c>
      <c r="K56" s="126">
        <v>3337</v>
      </c>
      <c r="M56" s="97"/>
    </row>
    <row r="57" spans="1:13" s="40" customFormat="1" x14ac:dyDescent="0.2">
      <c r="A57" s="41" t="s">
        <v>2557</v>
      </c>
      <c r="B57" s="39"/>
      <c r="C57" s="1113">
        <v>16.399999999999999</v>
      </c>
      <c r="D57" s="63"/>
      <c r="E57" s="1113">
        <v>16</v>
      </c>
      <c r="F57" s="63"/>
      <c r="G57" s="1113">
        <v>18.8</v>
      </c>
      <c r="I57" s="1113">
        <v>18.899999999999999</v>
      </c>
      <c r="K57" s="1113">
        <v>20.8</v>
      </c>
      <c r="M57" s="1113"/>
    </row>
    <row r="58" spans="1:13" s="40" customFormat="1" x14ac:dyDescent="0.2">
      <c r="A58" s="41" t="s">
        <v>2558</v>
      </c>
      <c r="B58" s="39"/>
      <c r="C58" s="1113">
        <v>54.6</v>
      </c>
      <c r="D58" s="63"/>
      <c r="E58" s="1113">
        <v>53.1</v>
      </c>
      <c r="F58" s="63"/>
      <c r="G58" s="1113">
        <v>62.1</v>
      </c>
      <c r="I58" s="1113">
        <v>61.5</v>
      </c>
      <c r="K58" s="1113">
        <v>67.7</v>
      </c>
      <c r="M58" s="1113"/>
    </row>
    <row r="59" spans="1:13" s="40" customFormat="1" x14ac:dyDescent="0.2">
      <c r="A59" s="124" t="s">
        <v>2559</v>
      </c>
      <c r="B59" s="117"/>
      <c r="C59" s="391">
        <v>0.3</v>
      </c>
      <c r="D59" s="111"/>
      <c r="E59" s="391">
        <v>0.30199999999999999</v>
      </c>
      <c r="F59" s="111"/>
      <c r="G59" s="391">
        <v>0.30299999999999999</v>
      </c>
      <c r="I59" s="391">
        <v>0.308</v>
      </c>
      <c r="K59" s="391">
        <v>0.307</v>
      </c>
      <c r="M59" s="100"/>
    </row>
    <row r="60" spans="1:13" s="37" customFormat="1" x14ac:dyDescent="0.2">
      <c r="A60" s="35" t="s">
        <v>2560</v>
      </c>
      <c r="B60" s="36"/>
      <c r="C60" s="63"/>
      <c r="D60" s="63"/>
      <c r="E60" s="63"/>
      <c r="F60" s="87"/>
      <c r="G60" s="87"/>
      <c r="I60" s="63"/>
      <c r="K60" s="63"/>
      <c r="M60" s="87"/>
    </row>
    <row r="61" spans="1:13" s="40" customFormat="1" x14ac:dyDescent="0.2">
      <c r="A61" s="41" t="s">
        <v>2561</v>
      </c>
      <c r="B61" s="39"/>
      <c r="C61" s="63"/>
      <c r="D61" s="63"/>
      <c r="E61" s="63"/>
      <c r="F61" s="63"/>
      <c r="G61" s="63"/>
      <c r="I61" s="63"/>
      <c r="K61" s="63"/>
      <c r="M61" s="63"/>
    </row>
    <row r="62" spans="1:13" s="40" customFormat="1" x14ac:dyDescent="0.2">
      <c r="A62" s="90" t="s">
        <v>2562</v>
      </c>
      <c r="B62" s="39"/>
      <c r="C62" s="76">
        <v>867723</v>
      </c>
      <c r="D62" s="63"/>
      <c r="E62" s="76">
        <v>783743</v>
      </c>
      <c r="F62" s="63"/>
      <c r="G62" s="76">
        <v>900000</v>
      </c>
      <c r="I62" s="76">
        <v>783743</v>
      </c>
      <c r="K62" s="76">
        <v>750000</v>
      </c>
      <c r="M62" s="76"/>
    </row>
    <row r="63" spans="1:13" s="40" customFormat="1" x14ac:dyDescent="0.2">
      <c r="A63" s="90" t="s">
        <v>2563</v>
      </c>
      <c r="B63" s="39"/>
      <c r="C63" s="76">
        <v>114217</v>
      </c>
      <c r="D63" s="63"/>
      <c r="E63" s="76">
        <v>89924</v>
      </c>
      <c r="F63" s="63"/>
      <c r="G63" s="901">
        <v>135000</v>
      </c>
      <c r="I63" s="76">
        <v>89924</v>
      </c>
      <c r="K63" s="76">
        <v>85000</v>
      </c>
      <c r="M63" s="901"/>
    </row>
    <row r="64" spans="1:13" s="40" customFormat="1" x14ac:dyDescent="0.2">
      <c r="A64" s="90" t="s">
        <v>2564</v>
      </c>
      <c r="B64" s="39"/>
      <c r="C64" s="76">
        <v>83980</v>
      </c>
      <c r="D64" s="63"/>
      <c r="E64" s="76">
        <v>50877</v>
      </c>
      <c r="F64" s="63"/>
      <c r="G64" s="901">
        <v>85000</v>
      </c>
      <c r="I64" s="76">
        <v>50877</v>
      </c>
      <c r="K64" s="76">
        <v>50000</v>
      </c>
      <c r="M64" s="901"/>
    </row>
    <row r="65" spans="1:13" s="40" customFormat="1" ht="14.25" x14ac:dyDescent="0.2">
      <c r="A65" s="90" t="s">
        <v>2565</v>
      </c>
      <c r="B65" s="39"/>
      <c r="C65" s="76">
        <v>3</v>
      </c>
      <c r="D65" s="1422"/>
      <c r="E65" s="76">
        <v>33</v>
      </c>
      <c r="F65" s="63"/>
      <c r="G65" s="901">
        <v>0</v>
      </c>
      <c r="I65" s="76">
        <v>33</v>
      </c>
      <c r="K65" s="76">
        <v>15</v>
      </c>
      <c r="M65" s="901"/>
    </row>
    <row r="66" spans="1:13" s="40" customFormat="1" x14ac:dyDescent="0.2">
      <c r="A66" s="90" t="s">
        <v>2566</v>
      </c>
      <c r="B66" s="39"/>
      <c r="C66" s="76">
        <v>197806</v>
      </c>
      <c r="D66" s="63"/>
      <c r="E66" s="76">
        <v>232738</v>
      </c>
      <c r="F66" s="63"/>
      <c r="G66" s="901">
        <v>200000</v>
      </c>
      <c r="I66" s="76">
        <v>232738</v>
      </c>
      <c r="K66" s="76">
        <v>250000</v>
      </c>
      <c r="M66" s="901"/>
    </row>
    <row r="67" spans="1:13" s="40" customFormat="1" x14ac:dyDescent="0.2">
      <c r="A67" s="90" t="s">
        <v>2567</v>
      </c>
      <c r="B67" s="39"/>
      <c r="C67" s="76">
        <v>2505587</v>
      </c>
      <c r="D67" s="63"/>
      <c r="E67" s="76">
        <v>2186967</v>
      </c>
      <c r="F67" s="63"/>
      <c r="G67" s="901">
        <v>2550000</v>
      </c>
      <c r="I67" s="76">
        <v>2186967</v>
      </c>
      <c r="K67" s="76">
        <v>2200000</v>
      </c>
      <c r="M67" s="901"/>
    </row>
    <row r="68" spans="1:13" s="40" customFormat="1" x14ac:dyDescent="0.2">
      <c r="A68" s="90" t="s">
        <v>2568</v>
      </c>
      <c r="B68" s="39"/>
      <c r="C68" s="76">
        <v>3433</v>
      </c>
      <c r="D68" s="63"/>
      <c r="E68" s="76">
        <v>1378</v>
      </c>
      <c r="F68" s="63"/>
      <c r="G68" s="901">
        <v>3000</v>
      </c>
      <c r="I68" s="76">
        <v>1378</v>
      </c>
      <c r="K68" s="76">
        <v>1200</v>
      </c>
      <c r="M68" s="901"/>
    </row>
    <row r="69" spans="1:13" s="40" customFormat="1" x14ac:dyDescent="0.2">
      <c r="A69" s="90" t="s">
        <v>2569</v>
      </c>
      <c r="B69" s="39"/>
      <c r="C69" s="76">
        <v>161851</v>
      </c>
      <c r="D69" s="63"/>
      <c r="E69" s="76">
        <v>161095</v>
      </c>
      <c r="F69" s="63"/>
      <c r="G69" s="901">
        <v>150000</v>
      </c>
      <c r="I69" s="76">
        <v>161095</v>
      </c>
      <c r="K69" s="76">
        <v>150000</v>
      </c>
      <c r="M69" s="901"/>
    </row>
    <row r="70" spans="1:13" s="40" customFormat="1" x14ac:dyDescent="0.2">
      <c r="A70" s="90" t="s">
        <v>2570</v>
      </c>
      <c r="B70" s="39"/>
      <c r="C70" s="76">
        <v>2135684</v>
      </c>
      <c r="D70" s="63"/>
      <c r="E70" s="76">
        <v>2590347</v>
      </c>
      <c r="F70" s="63"/>
      <c r="G70" s="901">
        <v>2500000</v>
      </c>
      <c r="I70" s="76">
        <v>2590347</v>
      </c>
      <c r="K70" s="76">
        <v>2700000</v>
      </c>
      <c r="M70" s="901"/>
    </row>
    <row r="71" spans="1:13" s="40" customFormat="1" x14ac:dyDescent="0.2">
      <c r="A71" s="90" t="s">
        <v>2571</v>
      </c>
      <c r="B71" s="39"/>
      <c r="C71" s="76">
        <v>6070284</v>
      </c>
      <c r="D71" s="63"/>
      <c r="E71" s="76">
        <v>6097102</v>
      </c>
      <c r="F71" s="63"/>
      <c r="G71" s="901">
        <v>6523000</v>
      </c>
      <c r="I71" s="76">
        <v>6097102</v>
      </c>
      <c r="K71" s="76">
        <v>6186215</v>
      </c>
      <c r="M71" s="1421"/>
    </row>
    <row r="72" spans="1:13" s="40" customFormat="1" x14ac:dyDescent="0.2">
      <c r="A72" s="41" t="s">
        <v>2572</v>
      </c>
      <c r="B72" s="39"/>
      <c r="C72" s="63"/>
      <c r="D72" s="63"/>
      <c r="E72" s="63"/>
      <c r="F72" s="63"/>
      <c r="G72" s="63"/>
      <c r="I72" s="63"/>
      <c r="K72" s="63"/>
      <c r="M72" s="63"/>
    </row>
    <row r="73" spans="1:13" s="40" customFormat="1" x14ac:dyDescent="0.2">
      <c r="A73" s="90" t="s">
        <v>2573</v>
      </c>
      <c r="B73" s="39"/>
      <c r="C73" s="76">
        <v>4217194</v>
      </c>
      <c r="D73" s="63"/>
      <c r="E73" s="76">
        <v>4215575</v>
      </c>
      <c r="F73" s="63"/>
      <c r="G73" s="901">
        <v>4000000</v>
      </c>
      <c r="I73" s="76">
        <v>4000000</v>
      </c>
      <c r="K73" s="76">
        <v>4000000</v>
      </c>
      <c r="M73" s="901"/>
    </row>
    <row r="74" spans="1:13" s="40" customFormat="1" x14ac:dyDescent="0.2">
      <c r="A74" s="90" t="s">
        <v>2574</v>
      </c>
      <c r="B74" s="39"/>
      <c r="C74" s="76">
        <v>1111838</v>
      </c>
      <c r="D74" s="63"/>
      <c r="E74" s="76">
        <v>929457</v>
      </c>
      <c r="F74" s="63"/>
      <c r="G74" s="901">
        <v>980000</v>
      </c>
      <c r="I74" s="76">
        <v>980000</v>
      </c>
      <c r="K74" s="76">
        <v>980000</v>
      </c>
      <c r="M74" s="901"/>
    </row>
    <row r="75" spans="1:13" s="40" customFormat="1" x14ac:dyDescent="0.2">
      <c r="A75" s="90" t="s">
        <v>2575</v>
      </c>
      <c r="B75" s="39"/>
      <c r="C75" s="76">
        <v>940000</v>
      </c>
      <c r="D75" s="63"/>
      <c r="E75" s="76">
        <v>906908</v>
      </c>
      <c r="F75" s="63"/>
      <c r="G75" s="901">
        <v>940000</v>
      </c>
      <c r="I75" s="76">
        <v>940000</v>
      </c>
      <c r="K75" s="76">
        <v>940000</v>
      </c>
      <c r="M75" s="901"/>
    </row>
    <row r="76" spans="1:13" s="40" customFormat="1" x14ac:dyDescent="0.2">
      <c r="A76" s="90" t="s">
        <v>2576</v>
      </c>
      <c r="B76" s="39"/>
      <c r="C76" s="76">
        <v>7275650</v>
      </c>
      <c r="D76" s="63"/>
      <c r="E76" s="76">
        <v>7280630</v>
      </c>
      <c r="F76" s="63"/>
      <c r="G76" s="901">
        <v>8000000</v>
      </c>
      <c r="I76" s="76">
        <v>8000000</v>
      </c>
      <c r="K76" s="76">
        <v>8000000</v>
      </c>
      <c r="M76" s="901"/>
    </row>
    <row r="77" spans="1:13" s="40" customFormat="1" x14ac:dyDescent="0.2">
      <c r="A77" s="41" t="s">
        <v>2577</v>
      </c>
      <c r="B77" s="39"/>
      <c r="C77" s="63"/>
      <c r="D77" s="63"/>
      <c r="E77" s="63"/>
      <c r="F77" s="63"/>
      <c r="G77" s="63"/>
      <c r="I77" s="63"/>
      <c r="K77" s="63"/>
      <c r="M77" s="97"/>
    </row>
    <row r="78" spans="1:13" s="40" customFormat="1" x14ac:dyDescent="0.2">
      <c r="A78" s="90" t="s">
        <v>2578</v>
      </c>
      <c r="B78" s="39"/>
      <c r="C78" s="76">
        <v>121747</v>
      </c>
      <c r="D78" s="63"/>
      <c r="E78" s="76">
        <v>113036</v>
      </c>
      <c r="F78" s="63"/>
      <c r="G78" s="901">
        <v>123000</v>
      </c>
      <c r="I78" s="76">
        <v>115000</v>
      </c>
      <c r="K78" s="76">
        <v>115000</v>
      </c>
      <c r="M78" s="901"/>
    </row>
    <row r="79" spans="1:13" s="40" customFormat="1" x14ac:dyDescent="0.2">
      <c r="A79" s="90" t="s">
        <v>2519</v>
      </c>
      <c r="B79" s="39"/>
      <c r="C79" s="76" t="s">
        <v>2579</v>
      </c>
      <c r="D79" s="63"/>
      <c r="E79" s="76">
        <v>304000</v>
      </c>
      <c r="F79" s="63"/>
      <c r="G79" s="901">
        <v>332000</v>
      </c>
      <c r="I79" s="76">
        <v>300000</v>
      </c>
      <c r="K79" s="76">
        <v>300000</v>
      </c>
      <c r="M79" s="901"/>
    </row>
    <row r="80" spans="1:13" s="40" customFormat="1" ht="14.25" x14ac:dyDescent="0.2">
      <c r="A80" s="90" t="s">
        <v>2580</v>
      </c>
      <c r="B80" s="39"/>
      <c r="C80" s="76">
        <v>12000</v>
      </c>
      <c r="D80" s="63"/>
      <c r="E80" s="76">
        <v>10300</v>
      </c>
      <c r="F80" s="63"/>
      <c r="G80" s="901">
        <v>8500</v>
      </c>
      <c r="H80" s="1055" t="s">
        <v>737</v>
      </c>
      <c r="I80" s="76">
        <v>10000</v>
      </c>
      <c r="J80" s="1055" t="s">
        <v>290</v>
      </c>
      <c r="K80" s="76">
        <v>10000</v>
      </c>
      <c r="M80" s="901"/>
    </row>
    <row r="81" spans="1:13" s="40" customFormat="1" x14ac:dyDescent="0.2">
      <c r="A81" s="41" t="s">
        <v>2581</v>
      </c>
      <c r="B81" s="39"/>
      <c r="C81" s="63"/>
      <c r="D81" s="63"/>
      <c r="E81" s="63"/>
      <c r="F81" s="63"/>
      <c r="G81" s="63"/>
      <c r="I81" s="63"/>
      <c r="K81" s="63"/>
      <c r="M81" s="63"/>
    </row>
    <row r="82" spans="1:13" s="40" customFormat="1" x14ac:dyDescent="0.2">
      <c r="A82" s="90" t="s">
        <v>2582</v>
      </c>
      <c r="B82" s="39"/>
      <c r="C82" s="1708">
        <v>116000000</v>
      </c>
      <c r="D82" s="63"/>
      <c r="E82" s="1708">
        <v>114000000</v>
      </c>
      <c r="F82" s="63"/>
      <c r="G82" s="637">
        <v>112000000</v>
      </c>
      <c r="I82" s="1708">
        <v>112000000</v>
      </c>
      <c r="K82" s="1708">
        <v>112000000</v>
      </c>
      <c r="M82" s="637"/>
    </row>
    <row r="83" spans="1:13" s="40" customFormat="1" x14ac:dyDescent="0.2">
      <c r="A83" s="90" t="s">
        <v>2583</v>
      </c>
      <c r="B83" s="39"/>
      <c r="C83" s="76">
        <v>170642</v>
      </c>
      <c r="D83" s="63"/>
      <c r="E83" s="76">
        <v>163855</v>
      </c>
      <c r="F83" s="63"/>
      <c r="G83" s="901">
        <v>165000</v>
      </c>
      <c r="I83" s="76">
        <v>164000</v>
      </c>
      <c r="K83" s="76">
        <v>164000</v>
      </c>
      <c r="M83" s="901"/>
    </row>
    <row r="84" spans="1:13" s="40" customFormat="1" x14ac:dyDescent="0.2">
      <c r="A84" s="41" t="s">
        <v>2584</v>
      </c>
      <c r="B84" s="39"/>
      <c r="C84" s="63"/>
      <c r="D84" s="63"/>
      <c r="E84" s="63"/>
      <c r="F84" s="63"/>
      <c r="G84" s="63"/>
      <c r="I84" s="63"/>
      <c r="K84" s="63"/>
      <c r="M84" s="76"/>
    </row>
    <row r="85" spans="1:13" s="40" customFormat="1" x14ac:dyDescent="0.2">
      <c r="A85" s="90" t="s">
        <v>2585</v>
      </c>
      <c r="B85" s="39"/>
      <c r="C85" s="76">
        <v>4603801</v>
      </c>
      <c r="D85" s="63"/>
      <c r="E85" s="76">
        <v>4913616</v>
      </c>
      <c r="F85" s="63"/>
      <c r="G85" s="76">
        <v>4500000</v>
      </c>
      <c r="I85" s="76">
        <v>4500000</v>
      </c>
      <c r="K85" s="76">
        <v>4400000</v>
      </c>
      <c r="M85" s="76"/>
    </row>
    <row r="86" spans="1:13" s="40" customFormat="1" x14ac:dyDescent="0.2">
      <c r="A86" s="90" t="s">
        <v>2586</v>
      </c>
      <c r="B86" s="39"/>
      <c r="C86" s="76">
        <v>206566</v>
      </c>
      <c r="D86" s="63"/>
      <c r="E86" s="76">
        <v>177655</v>
      </c>
      <c r="F86" s="63"/>
      <c r="G86" s="901">
        <v>195000</v>
      </c>
      <c r="I86" s="76">
        <v>175000</v>
      </c>
      <c r="K86" s="76">
        <v>170000</v>
      </c>
      <c r="M86" s="901"/>
    </row>
    <row r="87" spans="1:13" s="40" customFormat="1" x14ac:dyDescent="0.2">
      <c r="A87" s="90" t="s">
        <v>2587</v>
      </c>
      <c r="B87" s="39"/>
      <c r="C87" s="76">
        <v>169436</v>
      </c>
      <c r="D87" s="63"/>
      <c r="E87" s="76">
        <v>181821</v>
      </c>
      <c r="F87" s="63"/>
      <c r="G87" s="901">
        <v>194000</v>
      </c>
      <c r="I87" s="76">
        <v>169000</v>
      </c>
      <c r="K87" s="76">
        <v>190000</v>
      </c>
      <c r="M87" s="901"/>
    </row>
    <row r="88" spans="1:13" s="40" customFormat="1" x14ac:dyDescent="0.2">
      <c r="A88" s="90" t="s">
        <v>2588</v>
      </c>
      <c r="B88" s="39"/>
      <c r="C88" s="76">
        <v>15259</v>
      </c>
      <c r="D88" s="63"/>
      <c r="E88" s="76">
        <v>14283</v>
      </c>
      <c r="F88" s="63"/>
      <c r="G88" s="901">
        <v>17000</v>
      </c>
      <c r="I88" s="76">
        <v>15000</v>
      </c>
      <c r="K88" s="76">
        <v>15000</v>
      </c>
      <c r="M88" s="901"/>
    </row>
    <row r="89" spans="1:13" s="40" customFormat="1" x14ac:dyDescent="0.2">
      <c r="A89" s="90" t="s">
        <v>2589</v>
      </c>
      <c r="B89" s="39"/>
      <c r="C89" s="76">
        <v>251631000</v>
      </c>
      <c r="D89" s="63"/>
      <c r="E89" s="76">
        <v>244470000</v>
      </c>
      <c r="F89" s="63"/>
      <c r="G89" s="901">
        <v>270000000</v>
      </c>
      <c r="I89" s="76">
        <v>244000000</v>
      </c>
      <c r="K89" s="76">
        <v>243000000</v>
      </c>
      <c r="M89" s="901"/>
    </row>
    <row r="90" spans="1:13" s="40" customFormat="1" x14ac:dyDescent="0.2">
      <c r="A90" s="41" t="s">
        <v>2590</v>
      </c>
      <c r="B90" s="39"/>
      <c r="C90" s="63"/>
      <c r="D90" s="63"/>
      <c r="E90" s="63"/>
      <c r="F90" s="63"/>
      <c r="G90" s="63"/>
      <c r="I90" s="63"/>
      <c r="K90" s="63"/>
      <c r="M90" s="63"/>
    </row>
    <row r="91" spans="1:13" s="40" customFormat="1" x14ac:dyDescent="0.2">
      <c r="A91" s="90" t="s">
        <v>2591</v>
      </c>
      <c r="B91" s="39"/>
      <c r="C91" s="76">
        <v>205624</v>
      </c>
      <c r="D91" s="63"/>
      <c r="E91" s="76">
        <v>219721</v>
      </c>
      <c r="F91" s="63"/>
      <c r="G91" s="901">
        <v>200000</v>
      </c>
      <c r="I91" s="76">
        <v>220000</v>
      </c>
      <c r="K91" s="76">
        <v>220000</v>
      </c>
      <c r="M91" s="901"/>
    </row>
    <row r="92" spans="1:13" s="40" customFormat="1" x14ac:dyDescent="0.2">
      <c r="A92" s="90" t="s">
        <v>2592</v>
      </c>
      <c r="B92" s="39"/>
      <c r="C92" s="76">
        <v>251790</v>
      </c>
      <c r="D92" s="63"/>
      <c r="E92" s="76">
        <v>286002</v>
      </c>
      <c r="F92" s="63"/>
      <c r="G92" s="901">
        <v>250000</v>
      </c>
      <c r="I92" s="76">
        <v>287000</v>
      </c>
      <c r="K92" s="76">
        <v>287000</v>
      </c>
      <c r="M92" s="901"/>
    </row>
    <row r="93" spans="1:13" s="40" customFormat="1" x14ac:dyDescent="0.2">
      <c r="A93" s="90" t="s">
        <v>2593</v>
      </c>
      <c r="B93" s="39"/>
      <c r="C93" s="76">
        <v>503555</v>
      </c>
      <c r="D93" s="63"/>
      <c r="E93" s="76">
        <v>508654</v>
      </c>
      <c r="F93" s="63"/>
      <c r="G93" s="901">
        <v>460000</v>
      </c>
      <c r="I93" s="76">
        <v>510000</v>
      </c>
      <c r="K93" s="76">
        <v>510000</v>
      </c>
      <c r="M93" s="901"/>
    </row>
    <row r="94" spans="1:13" s="40" customFormat="1" x14ac:dyDescent="0.2">
      <c r="A94" s="90" t="s">
        <v>2594</v>
      </c>
      <c r="B94" s="39"/>
      <c r="C94" s="76">
        <v>99459</v>
      </c>
      <c r="D94" s="63"/>
      <c r="E94" s="76">
        <v>99940</v>
      </c>
      <c r="F94" s="63"/>
      <c r="G94" s="901">
        <v>86000</v>
      </c>
      <c r="I94" s="76">
        <v>100000</v>
      </c>
      <c r="K94" s="76">
        <v>100000</v>
      </c>
      <c r="M94" s="901"/>
    </row>
    <row r="95" spans="1:13" s="40" customFormat="1" x14ac:dyDescent="0.2">
      <c r="A95" s="90" t="s">
        <v>2595</v>
      </c>
      <c r="B95" s="39"/>
      <c r="C95" s="76">
        <v>51128</v>
      </c>
      <c r="D95" s="63"/>
      <c r="E95" s="76">
        <v>53304</v>
      </c>
      <c r="F95" s="63"/>
      <c r="G95" s="901">
        <v>50000</v>
      </c>
      <c r="I95" s="76">
        <v>54000</v>
      </c>
      <c r="K95" s="76">
        <v>54000</v>
      </c>
      <c r="M95" s="901"/>
    </row>
    <row r="96" spans="1:13" s="40" customFormat="1" x14ac:dyDescent="0.2">
      <c r="A96" s="90" t="s">
        <v>2596</v>
      </c>
      <c r="B96" s="39"/>
      <c r="C96" s="76">
        <v>76651</v>
      </c>
      <c r="D96" s="63"/>
      <c r="E96" s="76">
        <v>78794</v>
      </c>
      <c r="F96" s="63"/>
      <c r="G96" s="901">
        <v>75000</v>
      </c>
      <c r="I96" s="76">
        <v>79000</v>
      </c>
      <c r="K96" s="76">
        <v>79000</v>
      </c>
      <c r="M96" s="901"/>
    </row>
    <row r="97" spans="1:13" s="40" customFormat="1" x14ac:dyDescent="0.2">
      <c r="A97" s="90" t="s">
        <v>2597</v>
      </c>
      <c r="B97" s="39"/>
      <c r="C97" s="76">
        <v>3162</v>
      </c>
      <c r="D97" s="63"/>
      <c r="E97" s="76">
        <v>3268</v>
      </c>
      <c r="F97" s="63"/>
      <c r="G97" s="901">
        <v>3100</v>
      </c>
      <c r="I97" s="76">
        <v>3300</v>
      </c>
      <c r="K97" s="76">
        <v>3300</v>
      </c>
      <c r="M97" s="901"/>
    </row>
    <row r="98" spans="1:13" s="40" customFormat="1" x14ac:dyDescent="0.2">
      <c r="A98" s="41" t="s">
        <v>2598</v>
      </c>
      <c r="B98" s="39"/>
      <c r="C98" s="76"/>
      <c r="D98" s="63"/>
      <c r="E98" s="76"/>
      <c r="F98" s="63"/>
      <c r="G98" s="63"/>
      <c r="I98" s="76"/>
      <c r="K98" s="76"/>
      <c r="M98" s="76"/>
    </row>
    <row r="99" spans="1:13" s="40" customFormat="1" x14ac:dyDescent="0.2">
      <c r="A99" s="90" t="s">
        <v>2599</v>
      </c>
      <c r="B99" s="39"/>
      <c r="C99" s="76">
        <v>15715330</v>
      </c>
      <c r="D99" s="63"/>
      <c r="E99" s="76">
        <v>20994014</v>
      </c>
      <c r="F99" s="63"/>
      <c r="G99" s="901">
        <v>17400000</v>
      </c>
      <c r="I99" s="76">
        <v>22000000</v>
      </c>
      <c r="K99" s="76">
        <v>23000000</v>
      </c>
      <c r="M99" s="901"/>
    </row>
    <row r="100" spans="1:13" s="40" customFormat="1" x14ac:dyDescent="0.2">
      <c r="A100" s="90" t="s">
        <v>2600</v>
      </c>
      <c r="B100" s="39"/>
      <c r="C100" s="76">
        <v>23504</v>
      </c>
      <c r="D100" s="63"/>
      <c r="E100" s="76">
        <v>23899</v>
      </c>
      <c r="F100" s="63"/>
      <c r="G100" s="901">
        <v>24500</v>
      </c>
      <c r="I100" s="76">
        <v>24000</v>
      </c>
      <c r="K100" s="76">
        <v>24000</v>
      </c>
      <c r="M100" s="901"/>
    </row>
    <row r="101" spans="1:13" s="40" customFormat="1" x14ac:dyDescent="0.2">
      <c r="A101" s="90" t="s">
        <v>2601</v>
      </c>
      <c r="B101" s="39"/>
      <c r="C101" s="76">
        <v>208265</v>
      </c>
      <c r="D101" s="63"/>
      <c r="E101" s="76">
        <v>328063</v>
      </c>
      <c r="F101" s="63"/>
      <c r="G101" s="901">
        <v>175000</v>
      </c>
      <c r="I101" s="76">
        <v>350000</v>
      </c>
      <c r="K101" s="76">
        <v>350000</v>
      </c>
      <c r="M101" s="901"/>
    </row>
    <row r="102" spans="1:13" s="40" customFormat="1" x14ac:dyDescent="0.2">
      <c r="A102" s="90" t="s">
        <v>2602</v>
      </c>
      <c r="B102" s="39"/>
      <c r="C102" s="76">
        <v>40125</v>
      </c>
      <c r="D102" s="63"/>
      <c r="E102" s="76">
        <v>46505</v>
      </c>
      <c r="F102" s="63"/>
      <c r="G102" s="901">
        <v>44725</v>
      </c>
      <c r="I102" s="76">
        <v>47000</v>
      </c>
      <c r="K102" s="76">
        <v>47000</v>
      </c>
      <c r="M102" s="901"/>
    </row>
    <row r="103" spans="1:13" s="1425" customFormat="1" x14ac:dyDescent="0.2">
      <c r="A103" s="41" t="s">
        <v>2603</v>
      </c>
      <c r="B103" s="1423"/>
      <c r="C103" s="901"/>
      <c r="D103" s="901"/>
      <c r="E103" s="901"/>
      <c r="F103" s="1424"/>
      <c r="G103" s="1424"/>
      <c r="I103" s="901"/>
      <c r="K103" s="901"/>
    </row>
    <row r="104" spans="1:13" s="1425" customFormat="1" x14ac:dyDescent="0.2">
      <c r="A104" s="90" t="s">
        <v>2604</v>
      </c>
      <c r="B104" s="1423"/>
      <c r="C104" s="901"/>
      <c r="D104" s="901"/>
      <c r="E104" s="901"/>
      <c r="F104" s="1424"/>
      <c r="G104" s="1424"/>
      <c r="I104" s="901"/>
      <c r="K104" s="901"/>
    </row>
    <row r="105" spans="1:13" s="1425" customFormat="1" x14ac:dyDescent="0.2">
      <c r="A105" s="131" t="s">
        <v>2605</v>
      </c>
      <c r="B105" s="1423"/>
      <c r="C105" s="76">
        <v>4300</v>
      </c>
      <c r="D105" s="901"/>
      <c r="E105" s="76">
        <v>4016</v>
      </c>
      <c r="F105" s="1424"/>
      <c r="G105" s="901">
        <v>3900</v>
      </c>
      <c r="I105" s="76">
        <v>4100</v>
      </c>
      <c r="K105" s="76">
        <v>4200</v>
      </c>
      <c r="M105" s="901"/>
    </row>
    <row r="106" spans="1:13" s="1425" customFormat="1" x14ac:dyDescent="0.2">
      <c r="A106" s="131" t="s">
        <v>2606</v>
      </c>
      <c r="B106" s="1423"/>
      <c r="C106" s="76">
        <v>670</v>
      </c>
      <c r="D106" s="901"/>
      <c r="E106" s="76">
        <v>632</v>
      </c>
      <c r="F106" s="1424"/>
      <c r="G106" s="901">
        <v>580</v>
      </c>
      <c r="I106" s="76">
        <v>640</v>
      </c>
      <c r="K106" s="76">
        <v>640</v>
      </c>
      <c r="M106" s="901"/>
    </row>
    <row r="107" spans="1:13" s="1425" customFormat="1" x14ac:dyDescent="0.2">
      <c r="A107" s="131" t="s">
        <v>2607</v>
      </c>
      <c r="B107" s="1423"/>
      <c r="C107" s="76">
        <v>19000</v>
      </c>
      <c r="D107" s="901"/>
      <c r="E107" s="76">
        <v>22893</v>
      </c>
      <c r="F107" s="1424"/>
      <c r="G107" s="901">
        <v>16500</v>
      </c>
      <c r="I107" s="76">
        <v>23000</v>
      </c>
      <c r="K107" s="76">
        <v>23000</v>
      </c>
      <c r="M107" s="901"/>
    </row>
    <row r="108" spans="1:13" s="1425" customFormat="1" x14ac:dyDescent="0.2">
      <c r="A108" s="90" t="s">
        <v>2608</v>
      </c>
      <c r="B108" s="889"/>
      <c r="C108" s="901"/>
      <c r="D108" s="901"/>
      <c r="E108" s="901"/>
      <c r="F108" s="1424"/>
      <c r="G108" s="1424"/>
      <c r="I108" s="901"/>
      <c r="K108" s="901"/>
      <c r="M108" s="901"/>
    </row>
    <row r="109" spans="1:13" s="1425" customFormat="1" x14ac:dyDescent="0.2">
      <c r="A109" s="131" t="s">
        <v>2609</v>
      </c>
      <c r="B109" s="889"/>
      <c r="C109" s="76">
        <v>205</v>
      </c>
      <c r="D109" s="901"/>
      <c r="E109" s="76">
        <v>221</v>
      </c>
      <c r="F109" s="1424"/>
      <c r="G109" s="901">
        <v>220</v>
      </c>
      <c r="I109" s="76">
        <v>227</v>
      </c>
      <c r="K109" s="76">
        <v>230</v>
      </c>
      <c r="M109" s="901"/>
    </row>
    <row r="110" spans="1:13" s="1425" customFormat="1" x14ac:dyDescent="0.2">
      <c r="A110" s="131" t="s">
        <v>2607</v>
      </c>
      <c r="B110" s="889"/>
      <c r="C110" s="76">
        <v>475</v>
      </c>
      <c r="D110" s="901"/>
      <c r="E110" s="76">
        <v>173</v>
      </c>
      <c r="F110" s="1424"/>
      <c r="G110" s="901">
        <v>400</v>
      </c>
      <c r="I110" s="76">
        <v>200</v>
      </c>
      <c r="K110" s="76">
        <v>200</v>
      </c>
      <c r="M110" s="901"/>
    </row>
    <row r="111" spans="1:13" s="1425" customFormat="1" x14ac:dyDescent="0.2">
      <c r="A111" s="131" t="s">
        <v>2610</v>
      </c>
      <c r="B111" s="889"/>
      <c r="C111" s="76">
        <v>163</v>
      </c>
      <c r="D111" s="901"/>
      <c r="E111" s="76">
        <v>112</v>
      </c>
      <c r="F111" s="1424"/>
      <c r="G111" s="901">
        <v>120</v>
      </c>
      <c r="I111" s="76">
        <v>118</v>
      </c>
      <c r="K111" s="76">
        <v>120</v>
      </c>
      <c r="M111" s="901"/>
    </row>
    <row r="112" spans="1:13" s="1425" customFormat="1" x14ac:dyDescent="0.2">
      <c r="A112" s="90" t="s">
        <v>2611</v>
      </c>
      <c r="B112" s="889"/>
      <c r="C112" s="901"/>
      <c r="D112" s="901"/>
      <c r="E112" s="901"/>
      <c r="F112" s="1424"/>
      <c r="G112" s="1424"/>
      <c r="I112" s="901"/>
      <c r="K112" s="901"/>
      <c r="M112" s="901"/>
    </row>
    <row r="113" spans="1:13" s="1425" customFormat="1" x14ac:dyDescent="0.2">
      <c r="A113" s="131" t="s">
        <v>2612</v>
      </c>
      <c r="B113" s="889"/>
      <c r="C113" s="76">
        <v>275</v>
      </c>
      <c r="D113" s="901"/>
      <c r="E113" s="76">
        <v>275</v>
      </c>
      <c r="F113" s="1424"/>
      <c r="G113" s="901">
        <v>200</v>
      </c>
      <c r="I113" s="76">
        <v>195</v>
      </c>
      <c r="K113" s="76">
        <v>190</v>
      </c>
      <c r="M113" s="901"/>
    </row>
    <row r="114" spans="1:13" s="1425" customFormat="1" x14ac:dyDescent="0.2">
      <c r="A114" s="131" t="s">
        <v>2613</v>
      </c>
      <c r="B114" s="889"/>
      <c r="C114" s="76">
        <v>3600</v>
      </c>
      <c r="D114" s="901"/>
      <c r="E114" s="76">
        <v>3527</v>
      </c>
      <c r="F114" s="1424"/>
      <c r="G114" s="901">
        <v>3800</v>
      </c>
      <c r="I114" s="76">
        <v>3633</v>
      </c>
      <c r="K114" s="76">
        <v>3700</v>
      </c>
      <c r="M114" s="901"/>
    </row>
    <row r="115" spans="1:13" s="1425" customFormat="1" x14ac:dyDescent="0.2">
      <c r="A115" s="131" t="s">
        <v>2614</v>
      </c>
      <c r="B115" s="889"/>
      <c r="C115" s="76">
        <v>3500</v>
      </c>
      <c r="D115" s="901"/>
      <c r="E115" s="76">
        <v>3517</v>
      </c>
      <c r="F115" s="1424"/>
      <c r="G115" s="901">
        <v>2500</v>
      </c>
      <c r="I115" s="76">
        <v>3600</v>
      </c>
      <c r="K115" s="76">
        <v>3600</v>
      </c>
      <c r="M115" s="901"/>
    </row>
    <row r="116" spans="1:13" s="1425" customFormat="1" x14ac:dyDescent="0.2">
      <c r="A116" s="131" t="s">
        <v>2615</v>
      </c>
      <c r="B116" s="889"/>
      <c r="C116" s="76">
        <v>475</v>
      </c>
      <c r="D116" s="901"/>
      <c r="E116" s="76">
        <v>425</v>
      </c>
      <c r="F116" s="1424"/>
      <c r="G116" s="901">
        <v>410</v>
      </c>
      <c r="I116" s="76">
        <v>374</v>
      </c>
      <c r="K116" s="76">
        <v>375</v>
      </c>
      <c r="M116" s="901"/>
    </row>
    <row r="117" spans="1:13" s="1425" customFormat="1" x14ac:dyDescent="0.2">
      <c r="A117" s="131" t="s">
        <v>2616</v>
      </c>
      <c r="B117" s="889"/>
      <c r="C117" s="76">
        <v>290</v>
      </c>
      <c r="D117" s="901"/>
      <c r="E117" s="76">
        <v>290</v>
      </c>
      <c r="F117" s="1424"/>
      <c r="G117" s="901">
        <v>310</v>
      </c>
      <c r="I117" s="76">
        <v>318</v>
      </c>
      <c r="K117" s="76">
        <v>325</v>
      </c>
      <c r="M117" s="901"/>
    </row>
    <row r="118" spans="1:13" s="37" customFormat="1" x14ac:dyDescent="0.2">
      <c r="A118" s="35" t="s">
        <v>2617</v>
      </c>
      <c r="B118" s="36"/>
      <c r="C118" s="63"/>
      <c r="D118" s="63"/>
      <c r="E118" s="63"/>
      <c r="F118" s="87"/>
      <c r="G118" s="87"/>
      <c r="I118" s="63"/>
      <c r="K118" s="63"/>
      <c r="M118" s="87"/>
    </row>
    <row r="119" spans="1:13" s="40" customFormat="1" ht="14.25" x14ac:dyDescent="0.2">
      <c r="A119" s="41" t="s">
        <v>2618</v>
      </c>
      <c r="B119" s="39"/>
      <c r="C119" s="76">
        <v>8</v>
      </c>
      <c r="D119" s="1422"/>
      <c r="E119" s="76">
        <v>8</v>
      </c>
      <c r="F119" s="63"/>
      <c r="G119" s="76">
        <v>8</v>
      </c>
      <c r="I119" s="76">
        <v>8</v>
      </c>
      <c r="K119" s="76">
        <v>9</v>
      </c>
      <c r="M119" s="76"/>
    </row>
    <row r="120" spans="1:13" s="40" customFormat="1" x14ac:dyDescent="0.2">
      <c r="A120" s="41" t="s">
        <v>2619</v>
      </c>
      <c r="B120" s="39"/>
      <c r="C120" s="76">
        <v>2</v>
      </c>
      <c r="D120" s="63"/>
      <c r="E120" s="76">
        <v>2</v>
      </c>
      <c r="F120" s="63"/>
      <c r="G120" s="76">
        <v>2</v>
      </c>
      <c r="I120" s="76">
        <v>2</v>
      </c>
      <c r="K120" s="76">
        <v>3</v>
      </c>
      <c r="M120" s="76"/>
    </row>
    <row r="121" spans="1:13" s="40" customFormat="1" ht="25.5" x14ac:dyDescent="0.2">
      <c r="A121" s="423" t="s">
        <v>2620</v>
      </c>
      <c r="B121" s="39"/>
      <c r="C121" s="76">
        <v>2</v>
      </c>
      <c r="D121" s="63"/>
      <c r="E121" s="76">
        <v>1</v>
      </c>
      <c r="F121" s="63"/>
      <c r="G121" s="76">
        <v>2</v>
      </c>
      <c r="I121" s="76">
        <v>2</v>
      </c>
      <c r="K121" s="76">
        <v>1</v>
      </c>
      <c r="M121" s="76"/>
    </row>
    <row r="122" spans="1:13" s="40" customFormat="1" x14ac:dyDescent="0.2">
      <c r="A122" s="41" t="s">
        <v>2621</v>
      </c>
      <c r="B122" s="39"/>
      <c r="C122" s="63"/>
      <c r="D122" s="63"/>
      <c r="E122" s="63"/>
      <c r="F122" s="63"/>
      <c r="G122" s="901"/>
      <c r="I122" s="63"/>
      <c r="K122" s="63"/>
      <c r="M122" s="901"/>
    </row>
    <row r="123" spans="1:13" s="40" customFormat="1" x14ac:dyDescent="0.2">
      <c r="A123" s="90" t="s">
        <v>2622</v>
      </c>
      <c r="B123" s="39"/>
      <c r="C123" s="76">
        <v>44</v>
      </c>
      <c r="D123" s="63"/>
      <c r="E123" s="76">
        <v>69</v>
      </c>
      <c r="F123" s="63"/>
      <c r="G123" s="71">
        <v>40</v>
      </c>
      <c r="I123" s="76">
        <v>101</v>
      </c>
      <c r="K123" s="76">
        <v>69</v>
      </c>
      <c r="M123" s="71"/>
    </row>
    <row r="124" spans="1:13" s="118" customFormat="1" x14ac:dyDescent="0.2">
      <c r="A124" s="90" t="s">
        <v>2623</v>
      </c>
      <c r="B124" s="117"/>
      <c r="C124" s="76">
        <v>118</v>
      </c>
      <c r="D124" s="111"/>
      <c r="E124" s="76">
        <v>231</v>
      </c>
      <c r="F124" s="111"/>
      <c r="G124" s="71">
        <v>150</v>
      </c>
      <c r="I124" s="76">
        <v>260</v>
      </c>
      <c r="K124" s="76">
        <v>231</v>
      </c>
      <c r="M124" s="121"/>
    </row>
    <row r="125" spans="1:13" s="118" customFormat="1" x14ac:dyDescent="0.2">
      <c r="A125" s="90" t="s">
        <v>2624</v>
      </c>
      <c r="B125" s="117"/>
      <c r="C125" s="76">
        <v>0</v>
      </c>
      <c r="D125" s="111"/>
      <c r="E125" s="76">
        <v>70</v>
      </c>
      <c r="F125" s="111"/>
      <c r="G125" s="71"/>
      <c r="I125" s="76">
        <v>90</v>
      </c>
      <c r="K125" s="76">
        <v>60</v>
      </c>
      <c r="M125" s="121"/>
    </row>
    <row r="126" spans="1:13" s="40" customFormat="1" x14ac:dyDescent="0.2">
      <c r="A126" s="90" t="s">
        <v>2625</v>
      </c>
      <c r="B126" s="39"/>
      <c r="C126" s="76">
        <v>19</v>
      </c>
      <c r="D126" s="63"/>
      <c r="E126" s="76">
        <v>14</v>
      </c>
      <c r="F126" s="63"/>
      <c r="G126" s="71">
        <v>15</v>
      </c>
      <c r="I126" s="76">
        <v>14</v>
      </c>
      <c r="K126" s="76">
        <v>15</v>
      </c>
      <c r="M126" s="71"/>
    </row>
    <row r="127" spans="1:13" s="40" customFormat="1" ht="14.25" x14ac:dyDescent="0.2">
      <c r="A127" s="90" t="s">
        <v>2626</v>
      </c>
      <c r="B127" s="39"/>
      <c r="C127" s="76">
        <v>400</v>
      </c>
      <c r="D127" s="1422" t="s">
        <v>737</v>
      </c>
      <c r="E127" s="76">
        <v>165</v>
      </c>
      <c r="F127" s="63"/>
      <c r="G127" s="71">
        <v>165</v>
      </c>
      <c r="I127" s="76">
        <v>189</v>
      </c>
      <c r="K127" s="76">
        <v>189</v>
      </c>
      <c r="M127" s="71"/>
    </row>
    <row r="128" spans="1:13" s="40" customFormat="1" x14ac:dyDescent="0.2">
      <c r="A128" s="41" t="s">
        <v>2627</v>
      </c>
      <c r="B128" s="39"/>
      <c r="C128" s="76">
        <v>15</v>
      </c>
      <c r="D128" s="63"/>
      <c r="E128" s="76">
        <v>22</v>
      </c>
      <c r="F128" s="63"/>
      <c r="G128" s="71">
        <v>20</v>
      </c>
      <c r="I128" s="76">
        <v>25</v>
      </c>
      <c r="K128" s="76">
        <v>30</v>
      </c>
      <c r="M128" s="71"/>
    </row>
    <row r="129" spans="1:13" s="40" customFormat="1" x14ac:dyDescent="0.2">
      <c r="A129" s="41" t="s">
        <v>2628</v>
      </c>
      <c r="B129" s="39"/>
      <c r="C129" s="76">
        <v>24</v>
      </c>
      <c r="D129" s="63"/>
      <c r="E129" s="76">
        <v>27</v>
      </c>
      <c r="F129" s="63"/>
      <c r="G129" s="71">
        <v>25</v>
      </c>
      <c r="I129" s="76">
        <v>30</v>
      </c>
      <c r="K129" s="76">
        <v>30</v>
      </c>
      <c r="M129" s="71"/>
    </row>
    <row r="130" spans="1:13" s="40" customFormat="1" x14ac:dyDescent="0.2">
      <c r="A130" s="41" t="s">
        <v>2629</v>
      </c>
      <c r="B130" s="39"/>
      <c r="C130" s="76">
        <v>3</v>
      </c>
      <c r="D130" s="63"/>
      <c r="E130" s="76">
        <v>9</v>
      </c>
      <c r="F130" s="63"/>
      <c r="G130" s="71">
        <v>4</v>
      </c>
      <c r="I130" s="76">
        <v>10</v>
      </c>
      <c r="K130" s="76">
        <v>8</v>
      </c>
      <c r="M130" s="71"/>
    </row>
    <row r="131" spans="1:13" s="40" customFormat="1" x14ac:dyDescent="0.2">
      <c r="A131" s="41" t="s">
        <v>2630</v>
      </c>
      <c r="B131" s="39"/>
      <c r="C131" s="76">
        <v>2</v>
      </c>
      <c r="D131" s="63"/>
      <c r="E131" s="76">
        <v>4</v>
      </c>
      <c r="F131" s="63"/>
      <c r="G131" s="71">
        <v>3</v>
      </c>
      <c r="I131" s="76">
        <v>5</v>
      </c>
      <c r="K131" s="76">
        <v>3</v>
      </c>
      <c r="M131" s="71"/>
    </row>
    <row r="132" spans="1:13" s="40" customFormat="1" x14ac:dyDescent="0.2">
      <c r="A132" s="41" t="s">
        <v>2631</v>
      </c>
      <c r="B132" s="39"/>
      <c r="C132" s="76">
        <v>3</v>
      </c>
      <c r="D132" s="63"/>
      <c r="E132" s="76">
        <v>1</v>
      </c>
      <c r="F132" s="63"/>
      <c r="G132" s="71">
        <v>3</v>
      </c>
      <c r="I132" s="76">
        <v>2</v>
      </c>
      <c r="K132" s="76">
        <v>3</v>
      </c>
      <c r="M132" s="71"/>
    </row>
    <row r="133" spans="1:13" s="40" customFormat="1" x14ac:dyDescent="0.2">
      <c r="A133" s="41" t="s">
        <v>2632</v>
      </c>
      <c r="B133" s="39"/>
      <c r="C133" s="76">
        <v>3</v>
      </c>
      <c r="D133" s="63"/>
      <c r="E133" s="76">
        <v>4</v>
      </c>
      <c r="F133" s="63"/>
      <c r="G133" s="71">
        <v>5</v>
      </c>
      <c r="I133" s="76">
        <v>11</v>
      </c>
      <c r="K133" s="76">
        <v>9</v>
      </c>
      <c r="M133" s="71"/>
    </row>
    <row r="134" spans="1:13" s="40" customFormat="1" x14ac:dyDescent="0.2">
      <c r="A134" s="41" t="s">
        <v>2633</v>
      </c>
      <c r="B134" s="39"/>
      <c r="C134" s="76">
        <v>18</v>
      </c>
      <c r="D134" s="63"/>
      <c r="E134" s="76">
        <v>10</v>
      </c>
      <c r="F134" s="63"/>
      <c r="G134" s="71">
        <v>8</v>
      </c>
      <c r="I134" s="76">
        <v>14</v>
      </c>
      <c r="K134" s="76">
        <v>10</v>
      </c>
      <c r="M134" s="71"/>
    </row>
    <row r="135" spans="1:13" s="40" customFormat="1" x14ac:dyDescent="0.2">
      <c r="A135" s="35" t="s">
        <v>2634</v>
      </c>
      <c r="B135" s="39"/>
      <c r="C135" s="71"/>
      <c r="D135" s="63"/>
      <c r="E135" s="71"/>
      <c r="F135" s="63"/>
      <c r="G135" s="63"/>
      <c r="I135" s="71"/>
      <c r="K135" s="71"/>
      <c r="M135" s="71"/>
    </row>
    <row r="136" spans="1:13" s="40" customFormat="1" x14ac:dyDescent="0.2">
      <c r="A136" s="41" t="s">
        <v>2635</v>
      </c>
      <c r="B136" s="39"/>
      <c r="C136" s="63"/>
      <c r="D136" s="63"/>
      <c r="E136" s="63"/>
      <c r="F136" s="63"/>
      <c r="G136" s="63"/>
      <c r="I136" s="63"/>
      <c r="K136" s="63"/>
      <c r="M136" s="71"/>
    </row>
    <row r="137" spans="1:13" s="40" customFormat="1" x14ac:dyDescent="0.2">
      <c r="A137" s="90" t="s">
        <v>2636</v>
      </c>
      <c r="B137" s="39"/>
      <c r="C137" s="76">
        <v>14669</v>
      </c>
      <c r="D137" s="63"/>
      <c r="E137" s="76">
        <v>11756</v>
      </c>
      <c r="F137" s="63"/>
      <c r="G137" s="901">
        <v>14000</v>
      </c>
      <c r="I137" s="76">
        <v>14000</v>
      </c>
      <c r="K137" s="76">
        <v>13000</v>
      </c>
      <c r="M137" s="901"/>
    </row>
    <row r="138" spans="1:13" s="40" customFormat="1" x14ac:dyDescent="0.2">
      <c r="A138" s="90" t="s">
        <v>2637</v>
      </c>
      <c r="B138" s="39"/>
      <c r="C138" s="76">
        <v>95</v>
      </c>
      <c r="D138" s="63"/>
      <c r="E138" s="76">
        <v>112</v>
      </c>
      <c r="F138" s="63"/>
      <c r="G138" s="901">
        <v>70</v>
      </c>
      <c r="I138" s="76">
        <v>70</v>
      </c>
      <c r="K138" s="76">
        <v>90</v>
      </c>
      <c r="M138" s="901"/>
    </row>
    <row r="139" spans="1:13" s="40" customFormat="1" x14ac:dyDescent="0.2">
      <c r="A139" s="90"/>
      <c r="B139" s="39"/>
      <c r="C139" s="71"/>
      <c r="D139" s="63"/>
      <c r="E139" s="71"/>
      <c r="F139" s="63"/>
      <c r="G139" s="63"/>
      <c r="I139" s="71"/>
      <c r="K139" s="71"/>
      <c r="M139" s="65"/>
    </row>
    <row r="140" spans="1:13" s="37" customFormat="1" x14ac:dyDescent="0.2">
      <c r="A140" s="35" t="s">
        <v>194</v>
      </c>
      <c r="B140" s="36"/>
      <c r="C140" s="63"/>
      <c r="D140" s="63"/>
      <c r="E140" s="63"/>
      <c r="F140" s="87"/>
      <c r="G140" s="87"/>
      <c r="I140" s="63"/>
      <c r="K140" s="63"/>
      <c r="M140" s="87"/>
    </row>
    <row r="141" spans="1:13" s="37" customFormat="1" x14ac:dyDescent="0.2">
      <c r="A141" s="35" t="s">
        <v>973</v>
      </c>
      <c r="B141" s="36"/>
      <c r="C141" s="63"/>
      <c r="D141" s="63"/>
      <c r="E141" s="63"/>
      <c r="F141" s="87"/>
      <c r="G141" s="87"/>
      <c r="I141" s="63"/>
      <c r="K141" s="63"/>
      <c r="M141" s="87"/>
    </row>
    <row r="142" spans="1:13" s="40" customFormat="1" x14ac:dyDescent="0.2">
      <c r="A142" s="38" t="s">
        <v>196</v>
      </c>
      <c r="B142" s="39"/>
      <c r="C142" s="63"/>
      <c r="D142" s="63"/>
      <c r="E142" s="63"/>
      <c r="F142" s="63"/>
      <c r="G142" s="63"/>
      <c r="I142" s="63"/>
      <c r="K142" s="63"/>
      <c r="M142" s="63"/>
    </row>
    <row r="143" spans="1:13" s="40" customFormat="1" x14ac:dyDescent="0.2">
      <c r="A143" s="41" t="s">
        <v>197</v>
      </c>
      <c r="B143" s="39"/>
      <c r="C143" s="76">
        <v>1769</v>
      </c>
      <c r="D143" s="63"/>
      <c r="E143" s="76">
        <v>1696</v>
      </c>
      <c r="F143" s="63"/>
      <c r="G143" s="901">
        <v>1669</v>
      </c>
      <c r="I143" s="76">
        <v>1711</v>
      </c>
      <c r="K143" s="76">
        <v>1711</v>
      </c>
      <c r="M143" s="901"/>
    </row>
    <row r="144" spans="1:13" s="40" customFormat="1" x14ac:dyDescent="0.2">
      <c r="A144" s="41" t="s">
        <v>2638</v>
      </c>
      <c r="B144" s="39"/>
      <c r="C144" s="76">
        <v>200</v>
      </c>
      <c r="D144" s="63"/>
      <c r="E144" s="76">
        <v>190</v>
      </c>
      <c r="F144" s="63"/>
      <c r="G144" s="901">
        <v>195</v>
      </c>
      <c r="I144" s="76">
        <v>280</v>
      </c>
      <c r="K144" s="76">
        <v>296</v>
      </c>
      <c r="M144" s="901"/>
    </row>
    <row r="145" spans="1:17" s="40" customFormat="1" x14ac:dyDescent="0.2">
      <c r="A145" s="41" t="s">
        <v>2639</v>
      </c>
      <c r="B145" s="39"/>
      <c r="C145" s="76">
        <v>1969</v>
      </c>
      <c r="D145" s="63"/>
      <c r="E145" s="76">
        <v>1886</v>
      </c>
      <c r="F145" s="63"/>
      <c r="G145" s="901">
        <v>1864</v>
      </c>
      <c r="I145" s="76">
        <v>1991</v>
      </c>
      <c r="K145" s="76">
        <v>2007</v>
      </c>
      <c r="M145" s="1421"/>
    </row>
    <row r="146" spans="1:17" s="40" customFormat="1" x14ac:dyDescent="0.2">
      <c r="A146" s="38" t="s">
        <v>199</v>
      </c>
      <c r="B146" s="39"/>
      <c r="C146" s="65"/>
      <c r="D146" s="63"/>
      <c r="E146" s="65"/>
      <c r="F146" s="63"/>
      <c r="G146" s="63"/>
      <c r="I146" s="65"/>
      <c r="K146" s="65"/>
      <c r="M146" s="65"/>
    </row>
    <row r="147" spans="1:17" s="40" customFormat="1" x14ac:dyDescent="0.2">
      <c r="A147" s="41" t="s">
        <v>2517</v>
      </c>
      <c r="B147" s="39"/>
      <c r="C147" s="76">
        <v>1294</v>
      </c>
      <c r="D147" s="63"/>
      <c r="E147" s="76">
        <v>1220</v>
      </c>
      <c r="F147" s="63"/>
      <c r="G147" s="901">
        <v>1208</v>
      </c>
      <c r="I147" s="76">
        <v>1336</v>
      </c>
      <c r="K147" s="76">
        <v>1336</v>
      </c>
      <c r="M147" s="901"/>
    </row>
    <row r="148" spans="1:17" s="40" customFormat="1" x14ac:dyDescent="0.2">
      <c r="A148" s="41" t="s">
        <v>2640</v>
      </c>
      <c r="B148" s="39"/>
      <c r="C148" s="76">
        <v>89</v>
      </c>
      <c r="D148" s="63"/>
      <c r="E148" s="76">
        <v>95</v>
      </c>
      <c r="F148" s="63"/>
      <c r="G148" s="76">
        <v>92</v>
      </c>
      <c r="I148" s="76">
        <v>89</v>
      </c>
      <c r="K148" s="76">
        <v>89</v>
      </c>
      <c r="M148" s="76"/>
    </row>
    <row r="149" spans="1:17" s="40" customFormat="1" x14ac:dyDescent="0.2">
      <c r="A149" s="41" t="s">
        <v>2641</v>
      </c>
      <c r="B149" s="39"/>
      <c r="C149" s="76">
        <v>419</v>
      </c>
      <c r="D149" s="63"/>
      <c r="E149" s="76">
        <v>409</v>
      </c>
      <c r="F149" s="63"/>
      <c r="G149" s="901">
        <v>397</v>
      </c>
      <c r="I149" s="76">
        <v>403</v>
      </c>
      <c r="K149" s="76">
        <v>403</v>
      </c>
      <c r="M149" s="901"/>
    </row>
    <row r="150" spans="1:17" s="40" customFormat="1" x14ac:dyDescent="0.2">
      <c r="A150" s="41" t="s">
        <v>2642</v>
      </c>
      <c r="B150" s="39"/>
      <c r="C150" s="76">
        <v>63</v>
      </c>
      <c r="D150" s="63"/>
      <c r="E150" s="76">
        <v>64</v>
      </c>
      <c r="F150" s="63"/>
      <c r="G150" s="901">
        <v>66</v>
      </c>
      <c r="I150" s="76">
        <v>68</v>
      </c>
      <c r="K150" s="76">
        <v>71</v>
      </c>
      <c r="M150" s="901"/>
    </row>
    <row r="151" spans="1:17" s="40" customFormat="1" x14ac:dyDescent="0.2">
      <c r="A151" s="41" t="s">
        <v>2643</v>
      </c>
      <c r="B151" s="39"/>
      <c r="C151" s="76">
        <v>44</v>
      </c>
      <c r="D151" s="63"/>
      <c r="E151" s="76">
        <v>40</v>
      </c>
      <c r="F151" s="63"/>
      <c r="G151" s="901">
        <v>44</v>
      </c>
      <c r="I151" s="76">
        <v>38</v>
      </c>
      <c r="K151" s="76">
        <v>43</v>
      </c>
      <c r="M151" s="901"/>
    </row>
    <row r="152" spans="1:17" s="40" customFormat="1" x14ac:dyDescent="0.2">
      <c r="A152" s="41" t="s">
        <v>2644</v>
      </c>
      <c r="B152" s="39"/>
      <c r="C152" s="76">
        <v>60</v>
      </c>
      <c r="D152" s="63"/>
      <c r="E152" s="76">
        <v>58</v>
      </c>
      <c r="F152" s="63"/>
      <c r="G152" s="901">
        <v>57</v>
      </c>
      <c r="I152" s="76">
        <v>57</v>
      </c>
      <c r="K152" s="76">
        <v>65</v>
      </c>
      <c r="M152" s="901"/>
    </row>
    <row r="153" spans="1:17" s="40" customFormat="1" x14ac:dyDescent="0.2">
      <c r="A153" s="41" t="s">
        <v>198</v>
      </c>
      <c r="B153" s="39"/>
      <c r="C153" s="76">
        <v>1969</v>
      </c>
      <c r="D153" s="63"/>
      <c r="E153" s="76">
        <v>1886</v>
      </c>
      <c r="F153" s="63"/>
      <c r="G153" s="901">
        <v>1864</v>
      </c>
      <c r="I153" s="76">
        <v>1991</v>
      </c>
      <c r="K153" s="76">
        <v>2007</v>
      </c>
      <c r="M153" s="1421"/>
    </row>
    <row r="154" spans="1:17" s="37" customFormat="1" x14ac:dyDescent="0.2">
      <c r="A154" s="35"/>
      <c r="B154" s="36"/>
      <c r="C154" s="63"/>
      <c r="D154" s="63"/>
    </row>
    <row r="155" spans="1:17" s="48" customFormat="1" x14ac:dyDescent="0.2">
      <c r="A155" s="46"/>
      <c r="B155" s="47"/>
    </row>
    <row r="156" spans="1:17" s="48" customFormat="1" x14ac:dyDescent="0.2">
      <c r="A156" s="49" t="s">
        <v>200</v>
      </c>
      <c r="B156" s="50"/>
      <c r="C156" s="51"/>
      <c r="D156" s="52"/>
      <c r="E156" s="53"/>
      <c r="F156" s="52"/>
      <c r="G156" s="53"/>
      <c r="H156" s="52"/>
      <c r="I156" s="53"/>
      <c r="J156" s="52"/>
      <c r="K156" s="53"/>
      <c r="L156" s="52"/>
      <c r="M156" s="51"/>
      <c r="N156" s="52"/>
    </row>
    <row r="157" spans="1:17" ht="28.5" customHeight="1" x14ac:dyDescent="0.2">
      <c r="A157" s="1738" t="s">
        <v>524</v>
      </c>
      <c r="B157" s="1836"/>
      <c r="C157" s="1836"/>
      <c r="D157" s="1836"/>
      <c r="E157" s="1836"/>
      <c r="F157" s="1836"/>
      <c r="G157" s="1836"/>
      <c r="H157" s="1836"/>
      <c r="I157" s="1836"/>
      <c r="J157" s="1836"/>
      <c r="K157" s="1836"/>
      <c r="L157" s="1836"/>
      <c r="M157" s="1836"/>
      <c r="N157" s="1836"/>
      <c r="O157" s="54"/>
      <c r="P157" s="54"/>
      <c r="Q157" s="951"/>
    </row>
    <row r="158" spans="1:17" ht="15" customHeight="1" x14ac:dyDescent="0.2">
      <c r="A158" s="1738" t="s">
        <v>2645</v>
      </c>
      <c r="B158" s="1738"/>
      <c r="C158" s="1738"/>
      <c r="D158" s="1738"/>
      <c r="E158" s="1738"/>
      <c r="F158" s="1738"/>
      <c r="G158" s="138"/>
      <c r="H158" s="137"/>
      <c r="I158" s="138"/>
      <c r="J158" s="137"/>
      <c r="K158" s="138"/>
      <c r="L158" s="1426"/>
      <c r="M158" s="1426"/>
      <c r="N158" s="1426"/>
      <c r="O158" s="54"/>
      <c r="P158" s="54"/>
      <c r="Q158" s="951"/>
    </row>
    <row r="159" spans="1:17" ht="13.5" customHeight="1" x14ac:dyDescent="0.2">
      <c r="A159" s="1738" t="s">
        <v>2646</v>
      </c>
      <c r="B159" s="1736"/>
      <c r="C159" s="1737"/>
      <c r="D159" s="1736"/>
      <c r="E159" s="1737"/>
      <c r="F159" s="1736"/>
      <c r="G159" s="1737"/>
      <c r="H159" s="1736"/>
      <c r="I159" s="1737"/>
      <c r="J159" s="1736"/>
      <c r="K159" s="1737"/>
      <c r="L159" s="137"/>
      <c r="M159" s="138"/>
      <c r="N159" s="137"/>
      <c r="O159" s="54"/>
      <c r="P159" s="54"/>
    </row>
    <row r="160" spans="1:17" ht="27.75" customHeight="1" x14ac:dyDescent="0.2">
      <c r="A160" s="1738" t="s">
        <v>2647</v>
      </c>
      <c r="B160" s="1736"/>
      <c r="C160" s="1737"/>
      <c r="D160" s="1736"/>
      <c r="E160" s="1737"/>
      <c r="F160" s="1736"/>
      <c r="G160" s="1737"/>
      <c r="H160" s="1736"/>
      <c r="I160" s="1737"/>
      <c r="J160" s="1736"/>
      <c r="K160" s="1737"/>
      <c r="L160" s="1738"/>
      <c r="M160" s="1736"/>
      <c r="N160" s="1737"/>
      <c r="O160" s="54"/>
      <c r="P160" s="54"/>
    </row>
    <row r="161" spans="1:17" ht="27.75" customHeight="1" x14ac:dyDescent="0.2">
      <c r="A161" s="1738"/>
      <c r="B161" s="1736"/>
      <c r="C161" s="1737"/>
      <c r="D161" s="1736"/>
      <c r="E161" s="1737"/>
      <c r="F161" s="1736"/>
      <c r="G161" s="1737"/>
      <c r="H161" s="1736"/>
      <c r="I161" s="1737"/>
      <c r="J161" s="1736"/>
      <c r="K161" s="1737"/>
      <c r="L161" s="137"/>
      <c r="M161" s="138"/>
      <c r="N161" s="137"/>
      <c r="O161" s="54"/>
      <c r="P161" s="54"/>
    </row>
    <row r="162" spans="1:17" ht="27.75" customHeight="1" x14ac:dyDescent="0.2">
      <c r="A162" s="1735"/>
      <c r="B162" s="1736"/>
      <c r="C162" s="1737"/>
      <c r="D162" s="1736"/>
      <c r="E162" s="1737"/>
      <c r="F162" s="1736"/>
      <c r="G162" s="1737"/>
      <c r="H162" s="1736"/>
      <c r="I162" s="1737"/>
      <c r="J162" s="1736"/>
      <c r="K162" s="1737"/>
      <c r="L162" s="1736"/>
      <c r="M162" s="1737"/>
      <c r="N162" s="1736"/>
      <c r="O162" s="54"/>
      <c r="P162" s="54"/>
    </row>
    <row r="163" spans="1:17" ht="27.75" customHeight="1" x14ac:dyDescent="0.2">
      <c r="A163" s="1735"/>
      <c r="B163" s="1736"/>
      <c r="C163" s="1737"/>
      <c r="D163" s="1736"/>
      <c r="E163" s="1737"/>
      <c r="F163" s="1736"/>
      <c r="G163" s="1737"/>
      <c r="H163" s="1736"/>
      <c r="I163" s="1737"/>
      <c r="J163" s="1736"/>
      <c r="K163" s="1737"/>
      <c r="L163" s="1736"/>
      <c r="M163" s="1737"/>
      <c r="N163" s="1736"/>
      <c r="O163" s="54"/>
      <c r="P163" s="54"/>
    </row>
    <row r="164" spans="1:17" ht="27.75" customHeight="1" x14ac:dyDescent="0.2">
      <c r="A164" s="1735"/>
      <c r="B164" s="1736"/>
      <c r="C164" s="1737"/>
      <c r="D164" s="1736"/>
      <c r="E164" s="1737"/>
      <c r="F164" s="1736"/>
      <c r="G164" s="1737"/>
      <c r="H164" s="1736"/>
      <c r="I164" s="1737"/>
      <c r="J164" s="1736"/>
      <c r="K164" s="1737"/>
      <c r="L164" s="1736"/>
      <c r="M164" s="1737"/>
      <c r="N164" s="1736"/>
      <c r="O164" s="54"/>
      <c r="P164" s="54"/>
    </row>
    <row r="165" spans="1:17" x14ac:dyDescent="0.2">
      <c r="A165" s="55"/>
      <c r="B165" s="54"/>
      <c r="C165" s="56"/>
      <c r="D165" s="54"/>
      <c r="E165" s="56"/>
      <c r="F165" s="54"/>
      <c r="G165" s="56"/>
      <c r="H165" s="54"/>
      <c r="I165" s="56"/>
      <c r="J165" s="54"/>
      <c r="K165" s="56"/>
      <c r="L165" s="54"/>
      <c r="M165" s="56"/>
      <c r="N165" s="54"/>
      <c r="O165" s="54"/>
      <c r="P165" s="54"/>
    </row>
    <row r="166" spans="1:17" x14ac:dyDescent="0.2">
      <c r="A166" s="55"/>
      <c r="B166" s="54"/>
      <c r="C166" s="107"/>
      <c r="D166" s="54"/>
      <c r="E166" s="107"/>
      <c r="F166" s="54"/>
      <c r="G166" s="107"/>
      <c r="H166" s="54"/>
      <c r="I166" s="107"/>
      <c r="J166" s="54"/>
      <c r="K166" s="107"/>
      <c r="L166" s="54"/>
      <c r="M166" s="107"/>
      <c r="N166" s="54"/>
      <c r="O166" s="54"/>
      <c r="P166" s="54"/>
    </row>
    <row r="167" spans="1:17" x14ac:dyDescent="0.2">
      <c r="A167" s="55"/>
      <c r="B167" s="54"/>
      <c r="C167" s="56"/>
      <c r="D167" s="54"/>
      <c r="E167" s="56"/>
      <c r="F167" s="54"/>
      <c r="G167" s="56"/>
      <c r="H167" s="54"/>
      <c r="I167" s="56"/>
      <c r="J167" s="54"/>
      <c r="K167" s="56"/>
      <c r="L167" s="54"/>
      <c r="M167" s="56"/>
      <c r="N167" s="54"/>
      <c r="O167" s="54"/>
      <c r="P167" s="54"/>
    </row>
    <row r="168" spans="1:17" x14ac:dyDescent="0.2">
      <c r="A168" s="55"/>
      <c r="B168" s="54"/>
      <c r="C168" s="54"/>
      <c r="D168" s="54"/>
      <c r="E168" s="54"/>
      <c r="F168" s="54"/>
      <c r="G168" s="54"/>
      <c r="H168" s="54"/>
      <c r="I168" s="54"/>
      <c r="J168" s="54"/>
      <c r="K168" s="54"/>
      <c r="L168" s="54"/>
      <c r="M168" s="54"/>
      <c r="N168" s="54"/>
      <c r="O168" s="54"/>
      <c r="P168" s="54"/>
    </row>
    <row r="169" spans="1:17" x14ac:dyDescent="0.2">
      <c r="A169" s="55"/>
      <c r="B169" s="54"/>
      <c r="C169" s="56"/>
      <c r="D169" s="54"/>
      <c r="E169" s="56"/>
      <c r="F169" s="54"/>
      <c r="G169" s="56"/>
      <c r="H169" s="54"/>
      <c r="I169" s="56"/>
      <c r="J169" s="54"/>
      <c r="K169" s="56"/>
      <c r="L169" s="54"/>
      <c r="M169" s="56"/>
      <c r="N169" s="54"/>
      <c r="O169" s="54"/>
      <c r="P169" s="54"/>
    </row>
    <row r="170" spans="1:17" x14ac:dyDescent="0.2">
      <c r="A170" s="55"/>
      <c r="B170" s="54"/>
      <c r="C170" s="54"/>
      <c r="D170" s="54"/>
      <c r="E170" s="54"/>
      <c r="F170" s="54"/>
      <c r="G170" s="54"/>
      <c r="H170" s="54"/>
      <c r="I170" s="54"/>
      <c r="J170" s="54"/>
      <c r="K170" s="54"/>
      <c r="L170" s="54"/>
      <c r="M170" s="54"/>
      <c r="N170" s="54"/>
      <c r="O170" s="54"/>
      <c r="P170" s="54"/>
    </row>
    <row r="171" spans="1:17" x14ac:dyDescent="0.2">
      <c r="A171" s="55"/>
      <c r="B171" s="54"/>
      <c r="C171" s="54"/>
      <c r="D171" s="54"/>
      <c r="E171" s="54"/>
      <c r="F171" s="54"/>
      <c r="G171" s="54"/>
      <c r="H171" s="54"/>
      <c r="I171" s="54"/>
      <c r="J171" s="54"/>
      <c r="K171" s="54"/>
      <c r="L171" s="54"/>
      <c r="M171" s="54"/>
      <c r="N171" s="54"/>
      <c r="O171" s="54"/>
      <c r="P171" s="54"/>
    </row>
    <row r="172" spans="1:17" x14ac:dyDescent="0.2">
      <c r="A172" s="55"/>
      <c r="B172" s="54"/>
      <c r="C172" s="54"/>
      <c r="D172" s="54"/>
      <c r="E172" s="54"/>
      <c r="F172" s="54"/>
      <c r="G172" s="54"/>
      <c r="H172" s="54"/>
      <c r="I172" s="54"/>
      <c r="J172" s="54"/>
      <c r="K172" s="54"/>
      <c r="L172" s="54"/>
      <c r="M172" s="54"/>
      <c r="N172" s="54"/>
      <c r="O172" s="54"/>
      <c r="P172" s="54"/>
      <c r="Q172" s="57"/>
    </row>
    <row r="173" spans="1:17" x14ac:dyDescent="0.2">
      <c r="B173" s="25"/>
      <c r="C173" s="25"/>
      <c r="D173" s="25"/>
      <c r="E173" s="58"/>
      <c r="F173" s="58"/>
      <c r="G173" s="58"/>
      <c r="H173" s="58"/>
    </row>
    <row r="174" spans="1:17" x14ac:dyDescent="0.2">
      <c r="B174" s="25"/>
      <c r="C174" s="25"/>
      <c r="D174" s="25"/>
      <c r="E174" s="58"/>
      <c r="F174" s="58"/>
      <c r="G174" s="58"/>
      <c r="H174" s="58"/>
    </row>
    <row r="175" spans="1:17" x14ac:dyDescent="0.2">
      <c r="B175" s="25"/>
      <c r="C175" s="25"/>
      <c r="D175" s="25"/>
      <c r="E175" s="58"/>
      <c r="F175" s="58"/>
      <c r="G175" s="58"/>
      <c r="H175" s="58"/>
    </row>
    <row r="176" spans="1:17" x14ac:dyDescent="0.2">
      <c r="B176" s="25"/>
      <c r="C176" s="25"/>
      <c r="D176" s="25"/>
      <c r="E176" s="58"/>
      <c r="F176" s="58"/>
      <c r="G176" s="58"/>
      <c r="H176" s="58"/>
    </row>
    <row r="177" spans="2:8" x14ac:dyDescent="0.2">
      <c r="B177" s="25"/>
      <c r="C177" s="25"/>
      <c r="D177" s="25"/>
      <c r="E177" s="58"/>
      <c r="F177" s="58"/>
      <c r="G177" s="58"/>
      <c r="H177" s="58"/>
    </row>
    <row r="178" spans="2:8" x14ac:dyDescent="0.2">
      <c r="B178" s="25"/>
      <c r="C178" s="25"/>
      <c r="D178" s="25"/>
      <c r="E178" s="58"/>
      <c r="F178" s="58"/>
      <c r="G178" s="58"/>
      <c r="H178" s="58"/>
    </row>
    <row r="179" spans="2:8" x14ac:dyDescent="0.2">
      <c r="B179" s="25"/>
      <c r="C179" s="25"/>
      <c r="D179" s="25"/>
      <c r="E179" s="58"/>
      <c r="F179" s="58"/>
      <c r="G179" s="58"/>
      <c r="H179" s="58"/>
    </row>
    <row r="180" spans="2:8" x14ac:dyDescent="0.2">
      <c r="B180" s="25"/>
      <c r="C180" s="25"/>
      <c r="D180" s="25"/>
      <c r="E180" s="58"/>
      <c r="F180" s="58"/>
      <c r="G180" s="58"/>
      <c r="H180" s="58"/>
    </row>
    <row r="181" spans="2:8" x14ac:dyDescent="0.2">
      <c r="B181" s="25"/>
      <c r="C181" s="25"/>
      <c r="D181" s="25"/>
      <c r="E181" s="58"/>
      <c r="F181" s="58"/>
      <c r="G181" s="58"/>
      <c r="H181" s="58"/>
    </row>
    <row r="182" spans="2:8" x14ac:dyDescent="0.2">
      <c r="B182" s="25"/>
      <c r="C182" s="25"/>
      <c r="D182" s="25"/>
      <c r="E182" s="58"/>
      <c r="F182" s="58"/>
      <c r="G182" s="58"/>
      <c r="H182" s="58"/>
    </row>
    <row r="183" spans="2:8" x14ac:dyDescent="0.2">
      <c r="B183" s="25"/>
      <c r="C183" s="25"/>
      <c r="D183" s="25"/>
      <c r="E183" s="58"/>
      <c r="F183" s="58"/>
      <c r="G183" s="58"/>
      <c r="H183" s="58"/>
    </row>
    <row r="184" spans="2:8" x14ac:dyDescent="0.2">
      <c r="B184" s="25"/>
      <c r="C184" s="25"/>
      <c r="D184" s="25"/>
      <c r="E184" s="58"/>
      <c r="F184" s="58"/>
      <c r="G184" s="58"/>
      <c r="H184" s="58"/>
    </row>
    <row r="185" spans="2:8" x14ac:dyDescent="0.2">
      <c r="B185" s="25"/>
      <c r="C185" s="25"/>
      <c r="D185" s="25"/>
      <c r="E185" s="58"/>
      <c r="F185" s="58"/>
      <c r="G185" s="58"/>
      <c r="H185" s="58"/>
    </row>
    <row r="186" spans="2:8" x14ac:dyDescent="0.2">
      <c r="B186" s="25"/>
      <c r="C186" s="25"/>
      <c r="D186" s="25"/>
      <c r="E186" s="58"/>
      <c r="F186" s="58"/>
      <c r="G186" s="58"/>
      <c r="H186" s="58"/>
    </row>
    <row r="187" spans="2:8" x14ac:dyDescent="0.2">
      <c r="B187" s="25"/>
      <c r="C187" s="25"/>
      <c r="D187" s="25"/>
      <c r="E187" s="58"/>
      <c r="F187" s="58"/>
      <c r="G187" s="58"/>
      <c r="H187" s="58"/>
    </row>
    <row r="188" spans="2:8" x14ac:dyDescent="0.2">
      <c r="B188" s="25"/>
      <c r="C188" s="25"/>
      <c r="D188" s="25"/>
      <c r="E188" s="58"/>
      <c r="F188" s="58"/>
      <c r="G188" s="58"/>
      <c r="H188" s="58"/>
    </row>
    <row r="189" spans="2:8" x14ac:dyDescent="0.2">
      <c r="B189" s="25"/>
      <c r="C189" s="25"/>
      <c r="D189" s="25"/>
      <c r="E189" s="58"/>
      <c r="F189" s="58"/>
      <c r="G189" s="58"/>
      <c r="H189" s="58"/>
    </row>
    <row r="190" spans="2:8" x14ac:dyDescent="0.2">
      <c r="B190" s="25"/>
      <c r="C190" s="25"/>
      <c r="D190" s="25"/>
      <c r="E190" s="58"/>
      <c r="F190" s="58"/>
      <c r="G190" s="58"/>
      <c r="H190" s="58"/>
    </row>
    <row r="191" spans="2:8" x14ac:dyDescent="0.2">
      <c r="B191" s="25"/>
      <c r="C191" s="25"/>
      <c r="D191" s="25"/>
      <c r="E191" s="58"/>
      <c r="F191" s="58"/>
      <c r="G191" s="58"/>
      <c r="H191" s="58"/>
    </row>
    <row r="192" spans="2:8" x14ac:dyDescent="0.2">
      <c r="B192" s="25"/>
      <c r="C192" s="25"/>
      <c r="D192" s="25"/>
      <c r="E192" s="58"/>
      <c r="F192" s="58"/>
      <c r="G192" s="58"/>
      <c r="H192" s="58"/>
    </row>
    <row r="193" spans="2:8" x14ac:dyDescent="0.2">
      <c r="B193" s="25"/>
      <c r="C193" s="25"/>
      <c r="D193" s="25"/>
      <c r="E193" s="58"/>
      <c r="F193" s="58"/>
      <c r="G193" s="58"/>
      <c r="H193" s="58"/>
    </row>
    <row r="194" spans="2:8" x14ac:dyDescent="0.2">
      <c r="B194" s="25"/>
      <c r="C194" s="25"/>
      <c r="D194" s="25"/>
      <c r="E194" s="58"/>
      <c r="F194" s="58"/>
      <c r="G194" s="58"/>
      <c r="H194" s="58"/>
    </row>
    <row r="195" spans="2:8" x14ac:dyDescent="0.2">
      <c r="B195" s="25"/>
      <c r="C195" s="25"/>
      <c r="D195" s="25"/>
      <c r="E195" s="58"/>
      <c r="F195" s="58"/>
      <c r="G195" s="58"/>
      <c r="H195" s="58"/>
    </row>
    <row r="196" spans="2:8" x14ac:dyDescent="0.2">
      <c r="B196" s="25"/>
      <c r="C196" s="25"/>
      <c r="D196" s="25"/>
      <c r="E196" s="58"/>
      <c r="F196" s="58"/>
      <c r="G196" s="58"/>
      <c r="H196" s="58"/>
    </row>
    <row r="197" spans="2:8" x14ac:dyDescent="0.2">
      <c r="B197" s="25"/>
      <c r="C197" s="25"/>
      <c r="D197" s="25"/>
      <c r="E197" s="58"/>
      <c r="F197" s="58"/>
      <c r="G197" s="58"/>
      <c r="H197" s="58"/>
    </row>
    <row r="198" spans="2:8" x14ac:dyDescent="0.2">
      <c r="B198" s="25"/>
      <c r="C198" s="25"/>
      <c r="D198" s="25"/>
      <c r="E198" s="58"/>
      <c r="F198" s="58"/>
      <c r="G198" s="58"/>
      <c r="H198" s="58"/>
    </row>
    <row r="199" spans="2:8" x14ac:dyDescent="0.2">
      <c r="B199" s="25"/>
      <c r="C199" s="25"/>
      <c r="D199" s="25"/>
      <c r="E199" s="58"/>
      <c r="F199" s="58"/>
      <c r="G199" s="58"/>
      <c r="H199" s="58"/>
    </row>
    <row r="200" spans="2:8" x14ac:dyDescent="0.2">
      <c r="B200" s="25"/>
      <c r="C200" s="25"/>
      <c r="D200" s="25"/>
      <c r="E200" s="58"/>
      <c r="F200" s="58"/>
      <c r="G200" s="58"/>
      <c r="H200" s="58"/>
    </row>
    <row r="201" spans="2:8" x14ac:dyDescent="0.2">
      <c r="B201" s="25"/>
      <c r="C201" s="25"/>
      <c r="D201" s="25"/>
      <c r="E201" s="58"/>
      <c r="F201" s="58"/>
      <c r="G201" s="58"/>
      <c r="H201" s="58"/>
    </row>
    <row r="202" spans="2:8" x14ac:dyDescent="0.2">
      <c r="B202" s="25"/>
    </row>
    <row r="203" spans="2:8" x14ac:dyDescent="0.2">
      <c r="B203" s="25"/>
    </row>
    <row r="204" spans="2:8" x14ac:dyDescent="0.2">
      <c r="B204" s="25"/>
    </row>
    <row r="205" spans="2:8" x14ac:dyDescent="0.2">
      <c r="B205" s="25"/>
    </row>
    <row r="206" spans="2:8" x14ac:dyDescent="0.2">
      <c r="B206" s="25"/>
    </row>
    <row r="207" spans="2:8" x14ac:dyDescent="0.2">
      <c r="B207" s="25"/>
    </row>
    <row r="208" spans="2:8" x14ac:dyDescent="0.2">
      <c r="B208" s="25"/>
    </row>
    <row r="209" spans="2:2" x14ac:dyDescent="0.2">
      <c r="B209" s="25"/>
    </row>
    <row r="210" spans="2:2" x14ac:dyDescent="0.2">
      <c r="B210" s="25"/>
    </row>
    <row r="211" spans="2:2" x14ac:dyDescent="0.2">
      <c r="B211" s="25"/>
    </row>
    <row r="212" spans="2:2" x14ac:dyDescent="0.2">
      <c r="B212" s="25"/>
    </row>
    <row r="213" spans="2:2" x14ac:dyDescent="0.2">
      <c r="B213" s="25"/>
    </row>
    <row r="214" spans="2:2" x14ac:dyDescent="0.2">
      <c r="B214" s="25"/>
    </row>
    <row r="215" spans="2:2" x14ac:dyDescent="0.2">
      <c r="B215" s="25"/>
    </row>
    <row r="216" spans="2:2" x14ac:dyDescent="0.2">
      <c r="B216" s="25"/>
    </row>
    <row r="217" spans="2:2" x14ac:dyDescent="0.2">
      <c r="B217" s="25"/>
    </row>
    <row r="218" spans="2:2" x14ac:dyDescent="0.2">
      <c r="B218" s="25"/>
    </row>
  </sheetData>
  <mergeCells count="10">
    <mergeCell ref="A162:N162"/>
    <mergeCell ref="A163:N163"/>
    <mergeCell ref="A164:N164"/>
    <mergeCell ref="K2:K3"/>
    <mergeCell ref="A157:N157"/>
    <mergeCell ref="A158:F158"/>
    <mergeCell ref="A159:K159"/>
    <mergeCell ref="A160:K160"/>
    <mergeCell ref="L160:N160"/>
    <mergeCell ref="A161:K161"/>
  </mergeCells>
  <dataValidations disablePrompts="1"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rintOptions horizontalCentered="1"/>
  <pageMargins left="0.25" right="0.25" top="1" bottom="1" header="0.5" footer="0.5"/>
  <pageSetup scale="57" fitToHeight="2" pageOrder="overThenDown" orientation="portrait" blackAndWhite="1"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8">
    <pageSetUpPr fitToPage="1"/>
  </sheetPr>
  <dimension ref="A1:Q101"/>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customWidth="1"/>
    <col min="11" max="11" width="13.7109375" style="59" customWidth="1"/>
    <col min="12" max="12" width="3.140625" style="60"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1496</v>
      </c>
      <c r="C4" s="10" t="s">
        <v>36</v>
      </c>
      <c r="D4" s="6"/>
      <c r="E4" s="11"/>
      <c r="F4" s="9"/>
      <c r="G4" s="11"/>
      <c r="H4" s="6"/>
      <c r="I4" s="11"/>
      <c r="J4" s="6"/>
      <c r="K4" s="11"/>
      <c r="L4" s="6"/>
      <c r="M4" s="11"/>
      <c r="N4" s="6"/>
    </row>
    <row r="5" spans="1:16" s="4" customFormat="1" ht="15.75" x14ac:dyDescent="0.2">
      <c r="A5" s="1" t="s">
        <v>183</v>
      </c>
      <c r="B5" s="12" t="s">
        <v>2648</v>
      </c>
      <c r="C5" s="12" t="s">
        <v>69</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row>
    <row r="11" spans="1:16" s="37" customFormat="1" x14ac:dyDescent="0.2">
      <c r="A11" s="35" t="s">
        <v>2649</v>
      </c>
      <c r="B11" s="36"/>
      <c r="C11" s="87"/>
      <c r="D11" s="87"/>
    </row>
    <row r="12" spans="1:16" s="40" customFormat="1" x14ac:dyDescent="0.2">
      <c r="A12" s="41" t="s">
        <v>2650</v>
      </c>
      <c r="B12" s="39"/>
      <c r="C12" s="43">
        <v>6545</v>
      </c>
      <c r="D12" s="43"/>
      <c r="E12" s="43">
        <f>C15</f>
        <v>7360</v>
      </c>
      <c r="F12" s="44"/>
      <c r="G12" s="44">
        <f>E15</f>
        <v>6085</v>
      </c>
      <c r="H12" s="44"/>
      <c r="I12" s="44">
        <f>E15</f>
        <v>6085</v>
      </c>
      <c r="J12" s="44"/>
      <c r="K12" s="44">
        <f>I15</f>
        <v>5855</v>
      </c>
      <c r="M12" s="356"/>
    </row>
    <row r="13" spans="1:16" s="40" customFormat="1" x14ac:dyDescent="0.2">
      <c r="A13" s="41" t="s">
        <v>2651</v>
      </c>
      <c r="B13" s="39"/>
      <c r="C13" s="43">
        <v>20696</v>
      </c>
      <c r="D13" s="43"/>
      <c r="E13" s="43">
        <v>19047</v>
      </c>
      <c r="F13" s="44"/>
      <c r="G13" s="44">
        <v>19700</v>
      </c>
      <c r="H13" s="44"/>
      <c r="I13" s="44">
        <v>19870</v>
      </c>
      <c r="J13" s="44"/>
      <c r="K13" s="44">
        <v>19870</v>
      </c>
      <c r="M13" s="62"/>
    </row>
    <row r="14" spans="1:16" s="40" customFormat="1" x14ac:dyDescent="0.2">
      <c r="A14" s="41" t="s">
        <v>2652</v>
      </c>
      <c r="B14" s="39"/>
      <c r="C14" s="43">
        <v>19881</v>
      </c>
      <c r="D14" s="43"/>
      <c r="E14" s="43">
        <v>20322</v>
      </c>
      <c r="F14" s="44"/>
      <c r="G14" s="44">
        <v>19900</v>
      </c>
      <c r="H14" s="44"/>
      <c r="I14" s="44">
        <v>20100</v>
      </c>
      <c r="J14" s="44"/>
      <c r="K14" s="44">
        <v>20100</v>
      </c>
      <c r="M14" s="62"/>
    </row>
    <row r="15" spans="1:16" s="40" customFormat="1" x14ac:dyDescent="0.2">
      <c r="A15" s="41" t="s">
        <v>2653</v>
      </c>
      <c r="B15" s="39"/>
      <c r="C15" s="1427">
        <f>C12+C13-C14</f>
        <v>7360</v>
      </c>
      <c r="D15" s="43"/>
      <c r="E15" s="43">
        <f>E12+E13-E14</f>
        <v>6085</v>
      </c>
      <c r="F15" s="44"/>
      <c r="G15" s="44">
        <f>G12+G13-G14</f>
        <v>5885</v>
      </c>
      <c r="H15" s="44"/>
      <c r="I15" s="44">
        <f>I12+I13-I14</f>
        <v>5855</v>
      </c>
      <c r="J15" s="44"/>
      <c r="K15" s="44">
        <f>K12+K13-K14</f>
        <v>5625</v>
      </c>
      <c r="M15" s="356"/>
    </row>
    <row r="16" spans="1:16" s="40" customFormat="1" x14ac:dyDescent="0.2">
      <c r="A16" s="41" t="s">
        <v>2654</v>
      </c>
      <c r="B16" s="39"/>
      <c r="C16" s="43">
        <f>C14/38.75</f>
        <v>513.05806451612898</v>
      </c>
      <c r="D16" s="43"/>
      <c r="E16" s="43">
        <f>E14/32.17</f>
        <v>631.70655890581281</v>
      </c>
      <c r="F16" s="44"/>
      <c r="G16" s="44">
        <f>G14/30</f>
        <v>663.33333333333337</v>
      </c>
      <c r="H16" s="44"/>
      <c r="I16" s="44">
        <f>I13/41</f>
        <v>484.63414634146341</v>
      </c>
      <c r="J16" s="44"/>
      <c r="K16" s="44">
        <f>K14/38</f>
        <v>528.9473684210526</v>
      </c>
      <c r="M16" s="356"/>
    </row>
    <row r="17" spans="1:15" s="40" customFormat="1" x14ac:dyDescent="0.2">
      <c r="A17" s="41"/>
      <c r="B17" s="39"/>
      <c r="C17" s="63"/>
      <c r="D17" s="63"/>
    </row>
    <row r="18" spans="1:15" s="37" customFormat="1" x14ac:dyDescent="0.2">
      <c r="A18" s="35" t="s">
        <v>194</v>
      </c>
      <c r="B18" s="36"/>
      <c r="C18" s="616"/>
      <c r="D18" s="87"/>
      <c r="E18" s="108"/>
      <c r="G18" s="108"/>
      <c r="I18" s="108"/>
      <c r="M18" s="108"/>
    </row>
    <row r="19" spans="1:15" s="40" customFormat="1" x14ac:dyDescent="0.2">
      <c r="A19" s="38" t="s">
        <v>254</v>
      </c>
      <c r="B19" s="39"/>
      <c r="C19" s="63"/>
      <c r="D19" s="63"/>
      <c r="O19" s="393"/>
    </row>
    <row r="20" spans="1:15" s="40" customFormat="1" x14ac:dyDescent="0.2">
      <c r="A20" s="41" t="s">
        <v>332</v>
      </c>
      <c r="B20" s="39"/>
      <c r="C20" s="901">
        <v>5</v>
      </c>
      <c r="D20" s="63"/>
      <c r="E20" s="901">
        <v>5</v>
      </c>
      <c r="G20" s="901"/>
      <c r="I20" s="901">
        <v>4</v>
      </c>
      <c r="K20" s="901"/>
      <c r="M20" s="901"/>
    </row>
    <row r="21" spans="1:15" s="40" customFormat="1" x14ac:dyDescent="0.2">
      <c r="A21" s="41" t="s">
        <v>256</v>
      </c>
      <c r="B21" s="39"/>
      <c r="C21" s="1428">
        <f>C20/C35</f>
        <v>5.5555555555555552E-2</v>
      </c>
      <c r="D21" s="1429"/>
      <c r="E21" s="1428">
        <f>E20/E32</f>
        <v>5.9523809523809521E-2</v>
      </c>
      <c r="F21" s="1430"/>
      <c r="G21" s="1428"/>
      <c r="I21" s="1428">
        <f>I20/I32</f>
        <v>4.0816326530612242E-2</v>
      </c>
      <c r="K21" s="1428"/>
      <c r="M21" s="1048"/>
    </row>
    <row r="22" spans="1:15" s="40" customFormat="1" x14ac:dyDescent="0.2">
      <c r="A22" s="41" t="s">
        <v>257</v>
      </c>
      <c r="B22" s="39"/>
      <c r="C22" s="901">
        <v>25</v>
      </c>
      <c r="D22" s="63"/>
      <c r="E22" s="901">
        <v>23</v>
      </c>
      <c r="G22" s="901"/>
      <c r="I22" s="901">
        <v>26</v>
      </c>
      <c r="K22" s="901"/>
      <c r="M22" s="901"/>
    </row>
    <row r="23" spans="1:15" s="40" customFormat="1" x14ac:dyDescent="0.2">
      <c r="A23" s="41" t="s">
        <v>258</v>
      </c>
      <c r="B23" s="39"/>
      <c r="C23" s="1428">
        <f>C22/C35</f>
        <v>0.27777777777777779</v>
      </c>
      <c r="D23" s="1429"/>
      <c r="E23" s="1428">
        <f>E22/E32</f>
        <v>0.27380952380952384</v>
      </c>
      <c r="F23" s="1430"/>
      <c r="G23" s="1428"/>
      <c r="I23" s="1428">
        <f>I22/I32</f>
        <v>0.26530612244897961</v>
      </c>
      <c r="K23" s="1428"/>
      <c r="M23" s="1048"/>
    </row>
    <row r="24" spans="1:15" s="40" customFormat="1" x14ac:dyDescent="0.2">
      <c r="A24" s="41" t="s">
        <v>259</v>
      </c>
      <c r="B24" s="39"/>
      <c r="C24" s="1431">
        <f>C22+C20</f>
        <v>30</v>
      </c>
      <c r="D24" s="1429"/>
      <c r="E24" s="1431">
        <f>E22+E20</f>
        <v>28</v>
      </c>
      <c r="F24" s="1430"/>
      <c r="G24" s="1431"/>
      <c r="I24" s="1431">
        <f>I22+I20</f>
        <v>30</v>
      </c>
      <c r="K24" s="1431"/>
      <c r="M24" s="363"/>
    </row>
    <row r="25" spans="1:15" s="40" customFormat="1" x14ac:dyDescent="0.2">
      <c r="A25" s="41" t="s">
        <v>260</v>
      </c>
      <c r="B25" s="39"/>
      <c r="C25" s="1432">
        <f>C24/C35</f>
        <v>0.33333333333333331</v>
      </c>
      <c r="D25" s="1429"/>
      <c r="E25" s="1428">
        <f>E24/E32</f>
        <v>0.33333333333333331</v>
      </c>
      <c r="F25" s="1430"/>
      <c r="G25" s="1428"/>
      <c r="I25" s="1428">
        <f>I24/I32</f>
        <v>0.30612244897959184</v>
      </c>
      <c r="K25" s="1428"/>
      <c r="M25" s="1048"/>
    </row>
    <row r="26" spans="1:15" s="37" customFormat="1" x14ac:dyDescent="0.2">
      <c r="A26" s="35" t="s">
        <v>211</v>
      </c>
      <c r="B26" s="36"/>
      <c r="C26" s="87"/>
      <c r="D26" s="87"/>
      <c r="M26" s="1433"/>
    </row>
    <row r="27" spans="1:15" s="37" customFormat="1" x14ac:dyDescent="0.2">
      <c r="A27" s="35" t="s">
        <v>195</v>
      </c>
      <c r="B27" s="36"/>
      <c r="C27" s="87"/>
      <c r="D27" s="87"/>
      <c r="M27" s="87"/>
    </row>
    <row r="28" spans="1:15" s="40" customFormat="1" x14ac:dyDescent="0.2">
      <c r="A28" s="38" t="s">
        <v>196</v>
      </c>
      <c r="B28" s="39"/>
      <c r="C28" s="63"/>
      <c r="D28" s="63"/>
      <c r="M28" s="65"/>
    </row>
    <row r="29" spans="1:15" s="40" customFormat="1" x14ac:dyDescent="0.2">
      <c r="A29" s="41" t="s">
        <v>197</v>
      </c>
      <c r="B29" s="39"/>
      <c r="C29" s="955">
        <v>81</v>
      </c>
      <c r="D29" s="43"/>
      <c r="E29" s="955">
        <v>75</v>
      </c>
      <c r="F29" s="44"/>
      <c r="G29" s="1434">
        <v>78</v>
      </c>
      <c r="H29" s="44"/>
      <c r="I29" s="901">
        <v>88</v>
      </c>
      <c r="J29" s="44"/>
      <c r="K29" s="955">
        <v>87</v>
      </c>
      <c r="M29" s="901"/>
    </row>
    <row r="30" spans="1:15" s="40" customFormat="1" x14ac:dyDescent="0.2">
      <c r="A30" s="41" t="s">
        <v>564</v>
      </c>
      <c r="B30" s="39"/>
      <c r="C30" s="955">
        <v>4</v>
      </c>
      <c r="D30" s="43"/>
      <c r="E30" s="955">
        <v>4</v>
      </c>
      <c r="F30" s="44"/>
      <c r="G30" s="1434">
        <v>4</v>
      </c>
      <c r="H30" s="44"/>
      <c r="I30" s="901">
        <v>4</v>
      </c>
      <c r="J30" s="44"/>
      <c r="K30" s="955">
        <v>4</v>
      </c>
      <c r="M30" s="901"/>
    </row>
    <row r="31" spans="1:15" s="40" customFormat="1" x14ac:dyDescent="0.2">
      <c r="A31" s="41" t="s">
        <v>262</v>
      </c>
      <c r="B31" s="39"/>
      <c r="C31" s="955">
        <v>5</v>
      </c>
      <c r="D31" s="43"/>
      <c r="E31" s="955">
        <v>5</v>
      </c>
      <c r="F31" s="44"/>
      <c r="G31" s="1434">
        <v>5</v>
      </c>
      <c r="H31" s="44"/>
      <c r="I31" s="901">
        <v>6</v>
      </c>
      <c r="J31" s="44"/>
      <c r="K31" s="955">
        <v>6</v>
      </c>
      <c r="M31" s="901"/>
    </row>
    <row r="32" spans="1:15" s="40" customFormat="1" x14ac:dyDescent="0.2">
      <c r="A32" s="41" t="s">
        <v>198</v>
      </c>
      <c r="B32" s="39"/>
      <c r="C32" s="1435">
        <f>SUM(C29:C31)</f>
        <v>90</v>
      </c>
      <c r="D32" s="1427"/>
      <c r="E32" s="1435">
        <f>SUM(E29:E31)</f>
        <v>84</v>
      </c>
      <c r="F32" s="1427"/>
      <c r="G32" s="1435">
        <f t="shared" ref="G32:H32" si="0">SUM(G29:G31)</f>
        <v>87</v>
      </c>
      <c r="H32" s="1427">
        <f t="shared" si="0"/>
        <v>0</v>
      </c>
      <c r="I32" s="901">
        <f>SUM(I29:I31)</f>
        <v>98</v>
      </c>
      <c r="J32" s="1427"/>
      <c r="K32" s="1435">
        <f>SUM(K29:K31)</f>
        <v>97</v>
      </c>
      <c r="M32" s="1421"/>
    </row>
    <row r="33" spans="1:17" s="40" customFormat="1" x14ac:dyDescent="0.2">
      <c r="A33" s="38" t="s">
        <v>199</v>
      </c>
      <c r="B33" s="39"/>
      <c r="C33" s="43"/>
      <c r="D33" s="43"/>
      <c r="E33" s="43"/>
      <c r="F33" s="44"/>
      <c r="G33" s="44"/>
      <c r="H33" s="44"/>
      <c r="I33" s="901"/>
      <c r="J33" s="44"/>
      <c r="K33" s="43"/>
      <c r="M33" s="901"/>
    </row>
    <row r="34" spans="1:17" s="40" customFormat="1" x14ac:dyDescent="0.2">
      <c r="A34" s="41" t="s">
        <v>2649</v>
      </c>
      <c r="B34" s="39"/>
      <c r="C34" s="1435">
        <f>C32</f>
        <v>90</v>
      </c>
      <c r="D34" s="1427"/>
      <c r="E34" s="1435">
        <f>E32</f>
        <v>84</v>
      </c>
      <c r="F34" s="1436"/>
      <c r="G34" s="1435">
        <f>G32</f>
        <v>87</v>
      </c>
      <c r="H34" s="44"/>
      <c r="I34" s="901">
        <f>I32</f>
        <v>98</v>
      </c>
      <c r="J34" s="44"/>
      <c r="K34" s="1435">
        <f>K32</f>
        <v>97</v>
      </c>
      <c r="M34" s="901"/>
    </row>
    <row r="35" spans="1:17" s="40" customFormat="1" x14ac:dyDescent="0.2">
      <c r="A35" s="41" t="s">
        <v>198</v>
      </c>
      <c r="B35" s="39"/>
      <c r="C35" s="1435">
        <f>C34</f>
        <v>90</v>
      </c>
      <c r="D35" s="1427"/>
      <c r="E35" s="1435">
        <f>E34</f>
        <v>84</v>
      </c>
      <c r="F35" s="1436"/>
      <c r="G35" s="1435">
        <f>G34</f>
        <v>87</v>
      </c>
      <c r="H35" s="44"/>
      <c r="I35" s="901">
        <f>I34</f>
        <v>98</v>
      </c>
      <c r="J35" s="44"/>
      <c r="K35" s="1435">
        <f>K34</f>
        <v>97</v>
      </c>
      <c r="M35" s="1421"/>
    </row>
    <row r="36" spans="1:17" s="37" customFormat="1" x14ac:dyDescent="0.2">
      <c r="A36" s="35"/>
      <c r="B36" s="36"/>
      <c r="C36" s="87"/>
      <c r="D36" s="87"/>
    </row>
    <row r="37" spans="1:17" s="48" customFormat="1" x14ac:dyDescent="0.2">
      <c r="A37" s="46"/>
      <c r="B37" s="47"/>
    </row>
    <row r="38" spans="1:17" s="48" customFormat="1" x14ac:dyDescent="0.2">
      <c r="A38" s="49" t="s">
        <v>200</v>
      </c>
      <c r="B38" s="50"/>
      <c r="C38" s="51"/>
      <c r="D38" s="52"/>
      <c r="E38" s="53"/>
      <c r="F38" s="52"/>
      <c r="G38" s="53"/>
      <c r="H38" s="52"/>
      <c r="I38" s="53"/>
      <c r="J38" s="52"/>
      <c r="K38" s="53"/>
      <c r="L38" s="52"/>
      <c r="M38" s="51"/>
      <c r="N38" s="52"/>
    </row>
    <row r="39" spans="1:17" ht="27.75" customHeight="1" x14ac:dyDescent="0.2">
      <c r="A39" s="1738" t="s">
        <v>524</v>
      </c>
      <c r="B39" s="1736"/>
      <c r="C39" s="1737"/>
      <c r="D39" s="1736"/>
      <c r="E39" s="1737"/>
      <c r="F39" s="1736"/>
      <c r="G39" s="1737"/>
      <c r="H39" s="1736"/>
      <c r="I39" s="1737"/>
      <c r="J39" s="1736"/>
      <c r="K39" s="1737"/>
      <c r="L39" s="1736"/>
      <c r="M39" s="1737"/>
      <c r="N39" s="1736"/>
      <c r="O39" s="54"/>
      <c r="P39" s="54"/>
      <c r="Q39" s="951"/>
    </row>
    <row r="40" spans="1:17" ht="27.75" customHeight="1" x14ac:dyDescent="0.2">
      <c r="A40" s="1738"/>
      <c r="B40" s="1736"/>
      <c r="C40" s="1737"/>
      <c r="D40" s="1736"/>
      <c r="E40" s="1737"/>
      <c r="F40" s="1736"/>
      <c r="G40" s="1737"/>
      <c r="H40" s="1736"/>
      <c r="I40" s="1737"/>
      <c r="J40" s="1736"/>
      <c r="K40" s="1737"/>
      <c r="L40" s="1736"/>
      <c r="M40" s="1737"/>
      <c r="N40" s="1736"/>
      <c r="O40" s="54"/>
      <c r="P40" s="54"/>
    </row>
    <row r="41" spans="1:17" ht="27.75" customHeight="1" x14ac:dyDescent="0.2">
      <c r="A41" s="1735"/>
      <c r="B41" s="1736"/>
      <c r="C41" s="1737"/>
      <c r="D41" s="1736"/>
      <c r="E41" s="1737"/>
      <c r="F41" s="1736"/>
      <c r="G41" s="1737"/>
      <c r="H41" s="1736"/>
      <c r="I41" s="1737"/>
      <c r="J41" s="1736"/>
      <c r="K41" s="1737"/>
      <c r="L41" s="1736"/>
      <c r="M41" s="1737"/>
      <c r="N41" s="1736"/>
      <c r="O41" s="54"/>
      <c r="P41" s="54"/>
    </row>
    <row r="42" spans="1:17" ht="27.75" customHeight="1" x14ac:dyDescent="0.2">
      <c r="A42" s="1735"/>
      <c r="B42" s="1736"/>
      <c r="C42" s="1737"/>
      <c r="D42" s="1736"/>
      <c r="E42" s="1737"/>
      <c r="F42" s="1736"/>
      <c r="G42" s="1737"/>
      <c r="H42" s="1736"/>
      <c r="I42" s="1737"/>
      <c r="J42" s="1736"/>
      <c r="K42" s="1737"/>
      <c r="L42" s="1736"/>
      <c r="M42" s="1737"/>
      <c r="N42" s="1736"/>
      <c r="O42" s="54"/>
      <c r="P42" s="54"/>
    </row>
    <row r="43" spans="1:17" ht="27.75" customHeight="1" x14ac:dyDescent="0.2">
      <c r="A43" s="1735"/>
      <c r="B43" s="1736"/>
      <c r="C43" s="1737"/>
      <c r="D43" s="1736"/>
      <c r="E43" s="1737"/>
      <c r="F43" s="1736"/>
      <c r="G43" s="1737"/>
      <c r="H43" s="1736"/>
      <c r="I43" s="1737"/>
      <c r="J43" s="1736"/>
      <c r="K43" s="1737"/>
      <c r="L43" s="1736"/>
      <c r="M43" s="1737"/>
      <c r="N43" s="1736"/>
      <c r="O43" s="54"/>
      <c r="P43" s="54"/>
    </row>
    <row r="44" spans="1:17" ht="27.75" customHeight="1" x14ac:dyDescent="0.2">
      <c r="A44" s="1735"/>
      <c r="B44" s="1736"/>
      <c r="C44" s="1737"/>
      <c r="D44" s="1736"/>
      <c r="E44" s="1737"/>
      <c r="F44" s="1736"/>
      <c r="G44" s="1737"/>
      <c r="H44" s="1736"/>
      <c r="I44" s="1737"/>
      <c r="J44" s="1736"/>
      <c r="K44" s="1737"/>
      <c r="L44" s="1736"/>
      <c r="M44" s="1737"/>
      <c r="N44" s="1736"/>
      <c r="O44" s="54"/>
      <c r="P44" s="54"/>
    </row>
    <row r="45" spans="1:17" ht="27.75" customHeight="1" x14ac:dyDescent="0.2">
      <c r="A45" s="1735"/>
      <c r="B45" s="1736"/>
      <c r="C45" s="1737"/>
      <c r="D45" s="1736"/>
      <c r="E45" s="1737"/>
      <c r="F45" s="1736"/>
      <c r="G45" s="1737"/>
      <c r="H45" s="1736"/>
      <c r="I45" s="1737"/>
      <c r="J45" s="1736"/>
      <c r="K45" s="1737"/>
      <c r="L45" s="1736"/>
      <c r="M45" s="1737"/>
      <c r="N45" s="1736"/>
      <c r="O45" s="54"/>
      <c r="P45" s="54"/>
    </row>
    <row r="46" spans="1:17" ht="27.75" customHeight="1" x14ac:dyDescent="0.2">
      <c r="A46" s="1735"/>
      <c r="B46" s="1736"/>
      <c r="C46" s="1737"/>
      <c r="D46" s="1736"/>
      <c r="E46" s="1737"/>
      <c r="F46" s="1736"/>
      <c r="G46" s="1737"/>
      <c r="H46" s="1736"/>
      <c r="I46" s="1737"/>
      <c r="J46" s="1736"/>
      <c r="K46" s="1737"/>
      <c r="L46" s="1736"/>
      <c r="M46" s="1737"/>
      <c r="N46" s="1736"/>
      <c r="O46" s="54"/>
      <c r="P46" s="54"/>
    </row>
    <row r="47" spans="1:17" ht="27.75" customHeight="1" x14ac:dyDescent="0.2">
      <c r="A47" s="1735"/>
      <c r="B47" s="1736"/>
      <c r="C47" s="1737"/>
      <c r="D47" s="1736"/>
      <c r="E47" s="1737"/>
      <c r="F47" s="1736"/>
      <c r="G47" s="1737"/>
      <c r="H47" s="1736"/>
      <c r="I47" s="1737"/>
      <c r="J47" s="1736"/>
      <c r="K47" s="1737"/>
      <c r="L47" s="1736"/>
      <c r="M47" s="1737"/>
      <c r="N47" s="1736"/>
      <c r="O47" s="54"/>
      <c r="P47" s="54"/>
    </row>
    <row r="48" spans="1:17" x14ac:dyDescent="0.2">
      <c r="A48" s="55"/>
      <c r="B48" s="54"/>
      <c r="C48" s="56"/>
      <c r="D48" s="54"/>
      <c r="E48" s="56"/>
      <c r="F48" s="54"/>
      <c r="G48" s="56"/>
      <c r="H48" s="54"/>
      <c r="I48" s="56"/>
      <c r="J48" s="54"/>
      <c r="K48" s="56"/>
      <c r="L48" s="54"/>
      <c r="M48" s="56"/>
      <c r="N48" s="54"/>
      <c r="O48" s="54"/>
      <c r="P48" s="54"/>
    </row>
    <row r="49" spans="1:17" x14ac:dyDescent="0.2">
      <c r="A49" s="55"/>
      <c r="B49" s="54"/>
      <c r="C49" s="54"/>
      <c r="D49" s="54"/>
      <c r="E49" s="54"/>
      <c r="F49" s="54"/>
      <c r="G49" s="54"/>
      <c r="H49" s="54"/>
      <c r="I49" s="54"/>
      <c r="J49" s="54"/>
      <c r="K49" s="54"/>
      <c r="L49" s="54"/>
      <c r="M49" s="54"/>
      <c r="N49" s="54"/>
      <c r="O49" s="54"/>
      <c r="P49" s="54"/>
    </row>
    <row r="50" spans="1:17" x14ac:dyDescent="0.2">
      <c r="A50" s="55"/>
      <c r="B50" s="54"/>
      <c r="C50" s="56"/>
      <c r="D50" s="54"/>
      <c r="E50" s="56"/>
      <c r="F50" s="54"/>
      <c r="G50" s="56"/>
      <c r="H50" s="54"/>
      <c r="I50" s="56"/>
      <c r="J50" s="54"/>
      <c r="K50" s="56"/>
      <c r="L50" s="54"/>
      <c r="M50" s="56"/>
      <c r="N50" s="54"/>
      <c r="O50" s="54"/>
      <c r="P50" s="54"/>
    </row>
    <row r="51" spans="1:17" x14ac:dyDescent="0.2">
      <c r="A51" s="55"/>
      <c r="B51" s="54"/>
      <c r="C51" s="54"/>
      <c r="D51" s="54"/>
      <c r="E51" s="54"/>
      <c r="F51" s="54"/>
      <c r="G51" s="54"/>
      <c r="H51" s="54"/>
      <c r="I51" s="54"/>
      <c r="J51" s="54"/>
      <c r="K51" s="54"/>
      <c r="L51" s="54"/>
      <c r="M51" s="54"/>
      <c r="N51" s="54"/>
      <c r="O51" s="54"/>
      <c r="P51" s="54"/>
    </row>
    <row r="52" spans="1:17" x14ac:dyDescent="0.2">
      <c r="A52" s="55"/>
      <c r="B52" s="54"/>
      <c r="C52" s="56"/>
      <c r="D52" s="54"/>
      <c r="E52" s="56"/>
      <c r="F52" s="54"/>
      <c r="G52" s="56"/>
      <c r="H52" s="54"/>
      <c r="I52" s="56"/>
      <c r="J52" s="54"/>
      <c r="K52" s="56"/>
      <c r="L52" s="54"/>
      <c r="M52" s="56"/>
      <c r="N52" s="54"/>
      <c r="O52" s="54"/>
      <c r="P52" s="54"/>
    </row>
    <row r="53" spans="1:17" x14ac:dyDescent="0.2">
      <c r="A53" s="55"/>
      <c r="B53" s="54"/>
      <c r="C53" s="54"/>
      <c r="D53" s="54"/>
      <c r="E53" s="54"/>
      <c r="F53" s="54"/>
      <c r="G53" s="54"/>
      <c r="H53" s="54"/>
      <c r="I53" s="54"/>
      <c r="J53" s="54"/>
      <c r="K53" s="54"/>
      <c r="L53" s="54"/>
      <c r="M53" s="54"/>
      <c r="N53" s="54"/>
      <c r="O53" s="54"/>
      <c r="P53" s="54"/>
    </row>
    <row r="54" spans="1:17" x14ac:dyDescent="0.2">
      <c r="A54" s="55"/>
      <c r="B54" s="54"/>
      <c r="C54" s="54"/>
      <c r="D54" s="54"/>
      <c r="E54" s="54"/>
      <c r="F54" s="54"/>
      <c r="G54" s="54"/>
      <c r="H54" s="54"/>
      <c r="I54" s="54"/>
      <c r="J54" s="54"/>
      <c r="K54" s="54"/>
      <c r="L54" s="54"/>
      <c r="M54" s="54"/>
      <c r="N54" s="54"/>
      <c r="O54" s="54"/>
      <c r="P54" s="54"/>
    </row>
    <row r="55" spans="1:17" x14ac:dyDescent="0.2">
      <c r="A55" s="55"/>
      <c r="B55" s="54"/>
      <c r="C55" s="54"/>
      <c r="D55" s="54"/>
      <c r="E55" s="54"/>
      <c r="F55" s="54"/>
      <c r="G55" s="54"/>
      <c r="H55" s="54"/>
      <c r="I55" s="54"/>
      <c r="J55" s="54"/>
      <c r="K55" s="54"/>
      <c r="L55" s="54"/>
      <c r="M55" s="54"/>
      <c r="N55" s="54"/>
      <c r="O55" s="54"/>
      <c r="P55" s="54"/>
      <c r="Q55" s="57"/>
    </row>
    <row r="56" spans="1:17" x14ac:dyDescent="0.2">
      <c r="B56" s="25"/>
      <c r="C56" s="25"/>
      <c r="D56" s="25"/>
      <c r="E56" s="58"/>
      <c r="F56" s="58"/>
      <c r="G56" s="58"/>
      <c r="H56" s="58"/>
    </row>
    <row r="57" spans="1:17" x14ac:dyDescent="0.2">
      <c r="B57" s="25"/>
      <c r="C57" s="25"/>
      <c r="D57" s="25"/>
      <c r="E57" s="58"/>
      <c r="F57" s="58"/>
      <c r="G57" s="58"/>
      <c r="H57" s="58"/>
    </row>
    <row r="58" spans="1:17" x14ac:dyDescent="0.2">
      <c r="B58" s="25"/>
      <c r="C58" s="25"/>
      <c r="D58" s="25"/>
      <c r="E58" s="58"/>
      <c r="F58" s="58"/>
      <c r="G58" s="58"/>
      <c r="H58" s="58"/>
    </row>
    <row r="59" spans="1:17" x14ac:dyDescent="0.2">
      <c r="B59" s="25"/>
      <c r="C59" s="25"/>
      <c r="D59" s="25"/>
      <c r="E59" s="58"/>
      <c r="F59" s="58"/>
      <c r="G59" s="58"/>
      <c r="H59" s="58"/>
    </row>
    <row r="60" spans="1:17" x14ac:dyDescent="0.2">
      <c r="B60" s="25"/>
      <c r="C60" s="25"/>
      <c r="D60" s="25"/>
      <c r="E60" s="58"/>
      <c r="F60" s="58"/>
      <c r="G60" s="58"/>
      <c r="H60" s="58"/>
    </row>
    <row r="61" spans="1:17" x14ac:dyDescent="0.2">
      <c r="B61" s="25"/>
      <c r="C61" s="25"/>
      <c r="D61" s="25"/>
      <c r="E61" s="58"/>
      <c r="F61" s="58"/>
      <c r="G61" s="58"/>
      <c r="H61" s="58"/>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sheetData>
  <mergeCells count="10">
    <mergeCell ref="A45:N45"/>
    <mergeCell ref="A46:N46"/>
    <mergeCell ref="A47:N47"/>
    <mergeCell ref="K2:K3"/>
    <mergeCell ref="A39:N39"/>
    <mergeCell ref="A40:N40"/>
    <mergeCell ref="A41:N41"/>
    <mergeCell ref="A42:N42"/>
    <mergeCell ref="A43:N43"/>
    <mergeCell ref="A44:N44"/>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9">
    <pageSetUpPr fitToPage="1"/>
  </sheetPr>
  <dimension ref="A1:Q12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8" style="26" customWidth="1"/>
    <col min="3" max="3" width="13.7109375" style="61" customWidth="1"/>
    <col min="4" max="4" width="2.85546875"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5703125" style="60" customWidth="1"/>
    <col min="11" max="11" width="13.7109375" style="59" customWidth="1"/>
    <col min="12" max="12" width="3.5703125" style="60" customWidth="1"/>
    <col min="13" max="13" width="13.7109375" style="59" hidden="1" customWidth="1"/>
    <col min="14" max="14" width="3.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1496</v>
      </c>
      <c r="C4" s="10" t="s">
        <v>36</v>
      </c>
      <c r="D4" s="6"/>
      <c r="E4" s="11"/>
      <c r="F4" s="9"/>
      <c r="G4" s="11"/>
      <c r="H4" s="6"/>
      <c r="I4" s="11"/>
      <c r="J4" s="6"/>
      <c r="K4" s="11"/>
      <c r="L4" s="6"/>
      <c r="M4" s="11"/>
      <c r="N4" s="6"/>
    </row>
    <row r="5" spans="1:16" s="4" customFormat="1" ht="15.75" x14ac:dyDescent="0.2">
      <c r="A5" s="1" t="s">
        <v>183</v>
      </c>
      <c r="B5" s="12" t="s">
        <v>2655</v>
      </c>
      <c r="C5" s="12" t="s">
        <v>70</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c r="E10" s="87"/>
      <c r="G10" s="87"/>
      <c r="I10" s="87"/>
    </row>
    <row r="11" spans="1:16" s="37" customFormat="1" x14ac:dyDescent="0.2">
      <c r="A11" s="35" t="s">
        <v>70</v>
      </c>
      <c r="B11" s="36"/>
      <c r="C11" s="87"/>
      <c r="D11" s="87"/>
      <c r="E11" s="87"/>
      <c r="G11" s="87"/>
      <c r="I11" s="87"/>
    </row>
    <row r="12" spans="1:16" s="40" customFormat="1" x14ac:dyDescent="0.2">
      <c r="A12" s="1437" t="s">
        <v>2656</v>
      </c>
      <c r="B12" s="1438"/>
      <c r="C12" s="111"/>
      <c r="D12" s="111"/>
      <c r="E12" s="111"/>
      <c r="F12" s="118"/>
      <c r="G12" s="111"/>
      <c r="H12" s="118"/>
      <c r="I12" s="111"/>
      <c r="J12" s="118"/>
      <c r="K12" s="118"/>
      <c r="L12" s="118"/>
    </row>
    <row r="13" spans="1:16" s="40" customFormat="1" x14ac:dyDescent="0.2">
      <c r="A13" s="620" t="s">
        <v>2657</v>
      </c>
      <c r="B13" s="1438"/>
      <c r="C13" s="639">
        <v>374</v>
      </c>
      <c r="D13" s="111"/>
      <c r="E13" s="639">
        <v>385</v>
      </c>
      <c r="F13" s="118"/>
      <c r="G13" s="639">
        <v>400</v>
      </c>
      <c r="H13" s="118"/>
      <c r="I13" s="639">
        <v>548</v>
      </c>
      <c r="J13" s="118"/>
      <c r="K13" s="433">
        <v>248</v>
      </c>
      <c r="L13" s="118"/>
      <c r="M13" s="42"/>
    </row>
    <row r="14" spans="1:16" s="40" customFormat="1" x14ac:dyDescent="0.2">
      <c r="A14" s="620" t="s">
        <v>2658</v>
      </c>
      <c r="B14" s="1438"/>
      <c r="C14" s="639">
        <v>809</v>
      </c>
      <c r="D14" s="111"/>
      <c r="E14" s="639">
        <v>835</v>
      </c>
      <c r="F14" s="118"/>
      <c r="G14" s="639">
        <v>850</v>
      </c>
      <c r="H14" s="118"/>
      <c r="I14" s="639">
        <v>1519</v>
      </c>
      <c r="J14" s="118"/>
      <c r="K14" s="433">
        <v>1819</v>
      </c>
      <c r="L14" s="118"/>
      <c r="M14" s="42"/>
    </row>
    <row r="15" spans="1:16" s="37" customFormat="1" x14ac:dyDescent="0.2">
      <c r="A15" s="620" t="s">
        <v>2659</v>
      </c>
      <c r="B15" s="1438"/>
      <c r="C15" s="639">
        <v>349</v>
      </c>
      <c r="D15" s="402"/>
      <c r="E15" s="639">
        <v>375</v>
      </c>
      <c r="F15" s="141"/>
      <c r="G15" s="639">
        <v>400</v>
      </c>
      <c r="H15" s="141"/>
      <c r="I15" s="639">
        <v>658</v>
      </c>
      <c r="J15" s="141"/>
      <c r="K15" s="433">
        <v>858</v>
      </c>
      <c r="L15" s="141"/>
      <c r="M15" s="42"/>
      <c r="N15" s="40"/>
    </row>
    <row r="16" spans="1:16" s="40" customFormat="1" x14ac:dyDescent="0.2">
      <c r="A16" s="620" t="s">
        <v>2660</v>
      </c>
      <c r="B16" s="644"/>
      <c r="C16" s="639">
        <v>7100</v>
      </c>
      <c r="D16" s="111"/>
      <c r="E16" s="639">
        <v>9500</v>
      </c>
      <c r="F16" s="118"/>
      <c r="G16" s="639">
        <v>12300</v>
      </c>
      <c r="H16" s="118"/>
      <c r="I16" s="639">
        <v>8500</v>
      </c>
      <c r="J16" s="118"/>
      <c r="K16" s="433">
        <v>9000</v>
      </c>
      <c r="L16" s="118"/>
      <c r="M16" s="403"/>
      <c r="N16" s="37"/>
    </row>
    <row r="17" spans="1:14" s="40" customFormat="1" x14ac:dyDescent="0.2">
      <c r="A17" s="1009" t="s">
        <v>2661</v>
      </c>
      <c r="B17" s="117"/>
      <c r="C17" s="639"/>
      <c r="D17" s="111"/>
      <c r="E17" s="639"/>
      <c r="F17" s="118"/>
      <c r="G17" s="639"/>
      <c r="H17" s="118"/>
      <c r="I17" s="639"/>
      <c r="J17" s="118"/>
      <c r="K17" s="118"/>
      <c r="L17" s="118"/>
    </row>
    <row r="18" spans="1:14" s="40" customFormat="1" x14ac:dyDescent="0.2">
      <c r="A18" s="620" t="s">
        <v>2662</v>
      </c>
      <c r="B18" s="117"/>
      <c r="C18" s="639"/>
      <c r="D18" s="111"/>
      <c r="E18" s="639"/>
      <c r="F18" s="118"/>
      <c r="G18" s="639"/>
      <c r="H18" s="118"/>
      <c r="I18" s="639"/>
      <c r="J18" s="118"/>
      <c r="K18" s="1439"/>
      <c r="L18" s="118"/>
      <c r="M18" s="77"/>
    </row>
    <row r="19" spans="1:14" s="40" customFormat="1" x14ac:dyDescent="0.2">
      <c r="A19" s="624" t="s">
        <v>2663</v>
      </c>
      <c r="B19" s="117"/>
      <c r="C19" s="1439">
        <v>8</v>
      </c>
      <c r="D19" s="1440"/>
      <c r="E19" s="1439">
        <v>8</v>
      </c>
      <c r="F19" s="899"/>
      <c r="G19" s="1439">
        <v>8</v>
      </c>
      <c r="H19" s="899"/>
      <c r="I19" s="1439">
        <v>8</v>
      </c>
      <c r="J19" s="899"/>
      <c r="K19" s="1439">
        <v>16</v>
      </c>
      <c r="L19" s="118"/>
      <c r="M19" s="892"/>
    </row>
    <row r="20" spans="1:14" s="40" customFormat="1" x14ac:dyDescent="0.2">
      <c r="A20" s="624" t="s">
        <v>2664</v>
      </c>
      <c r="B20" s="117"/>
      <c r="C20" s="1439">
        <v>135</v>
      </c>
      <c r="D20" s="1440"/>
      <c r="E20" s="1439">
        <v>130</v>
      </c>
      <c r="F20" s="899"/>
      <c r="G20" s="1439">
        <v>130</v>
      </c>
      <c r="H20" s="899"/>
      <c r="I20" s="1439">
        <v>130</v>
      </c>
      <c r="J20" s="899"/>
      <c r="K20" s="1439">
        <v>130</v>
      </c>
      <c r="L20" s="118"/>
      <c r="M20" s="64"/>
    </row>
    <row r="21" spans="1:14" s="40" customFormat="1" x14ac:dyDescent="0.2">
      <c r="A21" s="624" t="s">
        <v>2665</v>
      </c>
      <c r="B21" s="117"/>
      <c r="C21" s="1439">
        <v>1466</v>
      </c>
      <c r="D21" s="1440"/>
      <c r="E21" s="1439">
        <v>1380</v>
      </c>
      <c r="F21" s="899"/>
      <c r="G21" s="1439">
        <v>1350</v>
      </c>
      <c r="H21" s="899"/>
      <c r="I21" s="1439">
        <v>1350</v>
      </c>
      <c r="J21" s="899"/>
      <c r="K21" s="1439">
        <v>1448</v>
      </c>
      <c r="L21" s="118"/>
      <c r="M21" s="64"/>
    </row>
    <row r="22" spans="1:14" s="40" customFormat="1" x14ac:dyDescent="0.2">
      <c r="A22" s="624" t="s">
        <v>2666</v>
      </c>
      <c r="B22" s="117"/>
      <c r="C22" s="1439">
        <v>1346</v>
      </c>
      <c r="D22" s="1440"/>
      <c r="E22" s="1439">
        <v>1250</v>
      </c>
      <c r="F22" s="899"/>
      <c r="G22" s="1439">
        <v>1255</v>
      </c>
      <c r="H22" s="899"/>
      <c r="I22" s="1439">
        <v>1255</v>
      </c>
      <c r="J22" s="899"/>
      <c r="K22" s="1439">
        <v>2254</v>
      </c>
      <c r="L22" s="118"/>
      <c r="M22" s="892"/>
    </row>
    <row r="23" spans="1:14" s="40" customFormat="1" x14ac:dyDescent="0.2">
      <c r="A23" s="624" t="s">
        <v>2667</v>
      </c>
      <c r="B23" s="117"/>
      <c r="C23" s="1439">
        <v>1346</v>
      </c>
      <c r="D23" s="1440"/>
      <c r="E23" s="1439">
        <v>1044</v>
      </c>
      <c r="F23" s="899"/>
      <c r="G23" s="1439">
        <v>1225</v>
      </c>
      <c r="H23" s="899"/>
      <c r="I23" s="1439">
        <v>1225</v>
      </c>
      <c r="J23" s="899"/>
      <c r="K23" s="1439">
        <v>1754</v>
      </c>
      <c r="L23" s="118"/>
      <c r="M23" s="892"/>
    </row>
    <row r="24" spans="1:14" s="40" customFormat="1" x14ac:dyDescent="0.2">
      <c r="A24" s="624" t="s">
        <v>2668</v>
      </c>
      <c r="B24" s="117"/>
      <c r="C24" s="1439">
        <v>10000</v>
      </c>
      <c r="D24" s="1440"/>
      <c r="E24" s="1439">
        <v>12000</v>
      </c>
      <c r="F24" s="899"/>
      <c r="G24" s="1439">
        <v>12000</v>
      </c>
      <c r="H24" s="899"/>
      <c r="I24" s="1439">
        <v>12000</v>
      </c>
      <c r="J24" s="899"/>
      <c r="K24" s="1439">
        <v>20000</v>
      </c>
      <c r="L24" s="118"/>
      <c r="M24" s="42"/>
    </row>
    <row r="25" spans="1:14" s="40" customFormat="1" x14ac:dyDescent="0.2">
      <c r="A25" s="620" t="s">
        <v>2669</v>
      </c>
      <c r="B25" s="117"/>
      <c r="C25" s="639"/>
      <c r="D25" s="111"/>
      <c r="E25" s="639"/>
      <c r="F25" s="118"/>
      <c r="G25" s="639"/>
      <c r="H25" s="118"/>
      <c r="I25" s="639"/>
      <c r="J25" s="118"/>
      <c r="K25" s="118"/>
      <c r="L25" s="118"/>
      <c r="M25" s="77"/>
    </row>
    <row r="26" spans="1:14" s="40" customFormat="1" hidden="1" x14ac:dyDescent="0.2">
      <c r="A26" s="1441" t="s">
        <v>2670</v>
      </c>
      <c r="B26" s="117"/>
      <c r="C26" s="639"/>
      <c r="D26" s="111"/>
      <c r="E26" s="639"/>
      <c r="F26" s="118"/>
      <c r="G26" s="639"/>
      <c r="H26" s="118"/>
      <c r="I26" s="639"/>
      <c r="J26" s="118"/>
      <c r="K26" s="118"/>
      <c r="L26" s="118"/>
      <c r="M26" s="77"/>
    </row>
    <row r="27" spans="1:14" s="40" customFormat="1" x14ac:dyDescent="0.2">
      <c r="A27" s="1442" t="s">
        <v>2671</v>
      </c>
      <c r="B27" s="117"/>
      <c r="C27" s="639">
        <v>4000</v>
      </c>
      <c r="D27" s="111"/>
      <c r="E27" s="639">
        <v>4000</v>
      </c>
      <c r="F27" s="118"/>
      <c r="G27" s="639">
        <v>4700</v>
      </c>
      <c r="H27" s="118"/>
      <c r="I27" s="639">
        <v>4400</v>
      </c>
      <c r="J27" s="118"/>
      <c r="K27" s="433">
        <v>4700</v>
      </c>
      <c r="L27" s="118"/>
      <c r="M27" s="42"/>
    </row>
    <row r="28" spans="1:14" s="40" customFormat="1" x14ac:dyDescent="0.2">
      <c r="A28" s="1442" t="s">
        <v>2672</v>
      </c>
      <c r="B28" s="117"/>
      <c r="C28" s="639">
        <v>175</v>
      </c>
      <c r="D28" s="111"/>
      <c r="E28" s="639">
        <v>175</v>
      </c>
      <c r="F28" s="118"/>
      <c r="G28" s="639">
        <v>200</v>
      </c>
      <c r="H28" s="118"/>
      <c r="I28" s="639">
        <v>180</v>
      </c>
      <c r="J28" s="118"/>
      <c r="K28" s="433">
        <v>200</v>
      </c>
      <c r="L28" s="118"/>
      <c r="M28" s="42"/>
    </row>
    <row r="29" spans="1:14" s="40" customFormat="1" x14ac:dyDescent="0.2">
      <c r="A29" s="1442" t="s">
        <v>2673</v>
      </c>
      <c r="B29" s="117"/>
      <c r="C29" s="639">
        <v>2000</v>
      </c>
      <c r="D29" s="111"/>
      <c r="E29" s="639">
        <v>2000</v>
      </c>
      <c r="F29" s="118"/>
      <c r="G29" s="639">
        <v>2100</v>
      </c>
      <c r="H29" s="118"/>
      <c r="I29" s="639">
        <v>2000</v>
      </c>
      <c r="J29" s="118"/>
      <c r="K29" s="433">
        <v>2100</v>
      </c>
      <c r="L29" s="118"/>
      <c r="M29" s="42"/>
    </row>
    <row r="30" spans="1:14" s="40" customFormat="1" x14ac:dyDescent="0.2">
      <c r="A30" s="1437" t="s">
        <v>2674</v>
      </c>
      <c r="B30" s="117"/>
      <c r="C30" s="639"/>
      <c r="D30" s="111"/>
      <c r="E30" s="639"/>
      <c r="F30" s="118"/>
      <c r="G30" s="639"/>
      <c r="H30" s="118"/>
      <c r="I30" s="639"/>
      <c r="J30" s="118"/>
      <c r="K30" s="118"/>
      <c r="L30" s="118"/>
      <c r="M30" s="77"/>
    </row>
    <row r="31" spans="1:14" s="40" customFormat="1" x14ac:dyDescent="0.2">
      <c r="A31" s="620" t="s">
        <v>2675</v>
      </c>
      <c r="B31" s="644"/>
      <c r="C31" s="639"/>
      <c r="D31" s="111"/>
      <c r="E31" s="639"/>
      <c r="F31" s="118"/>
      <c r="G31" s="639"/>
      <c r="H31" s="118"/>
      <c r="I31" s="639"/>
      <c r="J31" s="118"/>
      <c r="K31" s="118"/>
      <c r="L31" s="118"/>
      <c r="M31" s="37"/>
      <c r="N31" s="37"/>
    </row>
    <row r="32" spans="1:14" s="40" customFormat="1" x14ac:dyDescent="0.2">
      <c r="A32" s="624" t="s">
        <v>2676</v>
      </c>
      <c r="B32" s="117"/>
      <c r="C32" s="424">
        <v>4</v>
      </c>
      <c r="D32" s="112"/>
      <c r="E32" s="424">
        <v>3</v>
      </c>
      <c r="F32" s="120"/>
      <c r="G32" s="424">
        <v>3</v>
      </c>
      <c r="H32" s="120"/>
      <c r="I32" s="424">
        <v>3</v>
      </c>
      <c r="J32" s="120"/>
      <c r="K32" s="424">
        <v>3</v>
      </c>
      <c r="L32" s="118"/>
      <c r="M32" s="77"/>
    </row>
    <row r="33" spans="1:13" s="40" customFormat="1" x14ac:dyDescent="0.2">
      <c r="A33" s="620" t="s">
        <v>2677</v>
      </c>
      <c r="B33" s="117"/>
      <c r="C33" s="639"/>
      <c r="D33" s="111"/>
      <c r="E33" s="639"/>
      <c r="F33" s="118"/>
      <c r="G33" s="639"/>
      <c r="H33" s="118"/>
      <c r="I33" s="639"/>
      <c r="J33" s="118"/>
      <c r="K33" s="118"/>
      <c r="L33" s="118"/>
      <c r="M33" s="77"/>
    </row>
    <row r="34" spans="1:13" s="40" customFormat="1" x14ac:dyDescent="0.2">
      <c r="A34" s="624" t="s">
        <v>2678</v>
      </c>
      <c r="B34" s="117"/>
      <c r="C34" s="639">
        <v>38367</v>
      </c>
      <c r="D34" s="111"/>
      <c r="E34" s="639">
        <v>37315</v>
      </c>
      <c r="F34" s="118"/>
      <c r="G34" s="639">
        <v>30000</v>
      </c>
      <c r="H34" s="118"/>
      <c r="I34" s="639">
        <v>38000</v>
      </c>
      <c r="J34" s="118"/>
      <c r="K34" s="433">
        <v>38000</v>
      </c>
      <c r="L34" s="118"/>
      <c r="M34" s="42"/>
    </row>
    <row r="35" spans="1:13" s="40" customFormat="1" ht="12.75" customHeight="1" x14ac:dyDescent="0.2">
      <c r="A35" s="624" t="s">
        <v>2679</v>
      </c>
      <c r="B35" s="117"/>
      <c r="C35" s="639">
        <v>56755</v>
      </c>
      <c r="D35" s="111"/>
      <c r="E35" s="639">
        <v>57000</v>
      </c>
      <c r="F35" s="118"/>
      <c r="G35" s="639">
        <v>60000</v>
      </c>
      <c r="H35" s="118"/>
      <c r="I35" s="639">
        <v>60000</v>
      </c>
      <c r="J35" s="118"/>
      <c r="K35" s="433">
        <v>60000</v>
      </c>
      <c r="L35" s="118"/>
      <c r="M35" s="42"/>
    </row>
    <row r="36" spans="1:13" s="40" customFormat="1" x14ac:dyDescent="0.2">
      <c r="A36" s="1437" t="s">
        <v>2680</v>
      </c>
      <c r="B36" s="117"/>
      <c r="C36" s="639"/>
      <c r="D36" s="111"/>
      <c r="E36" s="639"/>
      <c r="F36" s="118"/>
      <c r="G36" s="639"/>
      <c r="H36" s="118"/>
      <c r="I36" s="639"/>
      <c r="J36" s="118"/>
      <c r="K36" s="118"/>
      <c r="L36" s="118"/>
      <c r="M36" s="77"/>
    </row>
    <row r="37" spans="1:13" s="40" customFormat="1" ht="12.75" customHeight="1" x14ac:dyDescent="0.2">
      <c r="A37" s="210" t="s">
        <v>2681</v>
      </c>
      <c r="B37" s="39"/>
      <c r="C37" s="43"/>
      <c r="D37" s="63"/>
      <c r="E37" s="43"/>
      <c r="G37" s="43"/>
      <c r="I37" s="43"/>
    </row>
    <row r="38" spans="1:13" s="40" customFormat="1" ht="12.75" customHeight="1" x14ac:dyDescent="0.2">
      <c r="A38" s="617" t="s">
        <v>2682</v>
      </c>
      <c r="B38" s="39"/>
      <c r="C38" s="43">
        <v>358</v>
      </c>
      <c r="D38" s="63"/>
      <c r="E38" s="43">
        <v>163</v>
      </c>
      <c r="G38" s="43">
        <v>183</v>
      </c>
      <c r="I38" s="43">
        <v>146</v>
      </c>
      <c r="K38" s="42">
        <v>155</v>
      </c>
      <c r="M38" s="42"/>
    </row>
    <row r="39" spans="1:13" s="40" customFormat="1" ht="12.75" customHeight="1" x14ac:dyDescent="0.2">
      <c r="A39" s="617" t="s">
        <v>2683</v>
      </c>
      <c r="B39" s="39"/>
      <c r="C39" s="43">
        <v>39</v>
      </c>
      <c r="D39" s="63"/>
      <c r="E39" s="43">
        <v>27</v>
      </c>
      <c r="G39" s="43">
        <v>35</v>
      </c>
      <c r="I39" s="43">
        <v>0</v>
      </c>
      <c r="K39" s="42">
        <v>0</v>
      </c>
      <c r="M39" s="42"/>
    </row>
    <row r="40" spans="1:13" s="40" customFormat="1" ht="12.75" customHeight="1" x14ac:dyDescent="0.2">
      <c r="A40" s="617" t="s">
        <v>2684</v>
      </c>
      <c r="B40" s="39"/>
      <c r="C40" s="43">
        <v>53</v>
      </c>
      <c r="D40" s="63"/>
      <c r="E40" s="43">
        <v>38</v>
      </c>
      <c r="G40" s="43">
        <v>40</v>
      </c>
      <c r="I40" s="43">
        <v>0</v>
      </c>
      <c r="K40" s="42">
        <v>0</v>
      </c>
      <c r="M40" s="42"/>
    </row>
    <row r="41" spans="1:13" s="40" customFormat="1" ht="12.75" customHeight="1" x14ac:dyDescent="0.2">
      <c r="A41" s="617" t="s">
        <v>2685</v>
      </c>
      <c r="B41" s="39"/>
      <c r="C41" s="43">
        <v>102</v>
      </c>
      <c r="D41" s="63"/>
      <c r="E41" s="43">
        <v>83</v>
      </c>
      <c r="G41" s="43">
        <v>93</v>
      </c>
      <c r="I41" s="43">
        <v>0</v>
      </c>
      <c r="K41" s="42">
        <v>0</v>
      </c>
      <c r="M41" s="42"/>
    </row>
    <row r="42" spans="1:13" s="40" customFormat="1" ht="12.75" customHeight="1" x14ac:dyDescent="0.2">
      <c r="A42" s="624" t="s">
        <v>2686</v>
      </c>
      <c r="B42" s="39"/>
      <c r="C42" s="43">
        <v>39</v>
      </c>
      <c r="D42" s="63"/>
      <c r="E42" s="43">
        <v>40</v>
      </c>
      <c r="G42" s="43">
        <v>45</v>
      </c>
      <c r="I42" s="43">
        <v>0</v>
      </c>
      <c r="K42" s="42">
        <v>0</v>
      </c>
      <c r="M42" s="42"/>
    </row>
    <row r="43" spans="1:13" s="40" customFormat="1" ht="12.75" customHeight="1" x14ac:dyDescent="0.2">
      <c r="A43" s="617" t="s">
        <v>2687</v>
      </c>
      <c r="B43" s="39"/>
      <c r="C43" s="43">
        <f>SUM(C38:C42)</f>
        <v>591</v>
      </c>
      <c r="D43" s="43"/>
      <c r="E43" s="43">
        <f>SUM(E38:E42)</f>
        <v>351</v>
      </c>
      <c r="F43" s="43"/>
      <c r="G43" s="43">
        <f t="shared" ref="G43:K43" si="0">SUM(G38:G42)</f>
        <v>396</v>
      </c>
      <c r="H43" s="43">
        <f t="shared" si="0"/>
        <v>0</v>
      </c>
      <c r="I43" s="43">
        <f t="shared" si="0"/>
        <v>146</v>
      </c>
      <c r="J43" s="43"/>
      <c r="K43" s="43">
        <f t="shared" si="0"/>
        <v>155</v>
      </c>
      <c r="M43" s="42"/>
    </row>
    <row r="44" spans="1:13" s="40" customFormat="1" ht="12.75" customHeight="1" x14ac:dyDescent="0.2">
      <c r="A44" s="210" t="s">
        <v>2688</v>
      </c>
      <c r="B44" s="39"/>
      <c r="C44" s="43"/>
      <c r="D44" s="63"/>
      <c r="E44" s="43"/>
      <c r="G44" s="43"/>
      <c r="I44" s="43"/>
      <c r="M44" s="77"/>
    </row>
    <row r="45" spans="1:13" s="40" customFormat="1" ht="12.75" customHeight="1" x14ac:dyDescent="0.2">
      <c r="A45" s="617" t="s">
        <v>2689</v>
      </c>
      <c r="B45" s="39"/>
      <c r="C45" s="43">
        <v>15</v>
      </c>
      <c r="D45" s="63"/>
      <c r="E45" s="43">
        <v>14</v>
      </c>
      <c r="G45" s="43">
        <v>10</v>
      </c>
      <c r="I45" s="43">
        <v>14</v>
      </c>
      <c r="K45" s="42">
        <v>15</v>
      </c>
      <c r="M45" s="42"/>
    </row>
    <row r="46" spans="1:13" s="40" customFormat="1" ht="12.75" customHeight="1" x14ac:dyDescent="0.2">
      <c r="A46" s="617" t="s">
        <v>2690</v>
      </c>
      <c r="B46" s="39"/>
      <c r="C46" s="43">
        <v>52</v>
      </c>
      <c r="D46" s="63"/>
      <c r="E46" s="43">
        <v>47</v>
      </c>
      <c r="G46" s="43">
        <v>50</v>
      </c>
      <c r="I46" s="43">
        <v>47</v>
      </c>
      <c r="K46" s="42">
        <v>48</v>
      </c>
      <c r="M46" s="42"/>
    </row>
    <row r="47" spans="1:13" s="40" customFormat="1" ht="12.75" customHeight="1" x14ac:dyDescent="0.2">
      <c r="A47" s="210" t="s">
        <v>2691</v>
      </c>
      <c r="B47" s="39"/>
      <c r="C47" s="43"/>
      <c r="D47" s="63"/>
      <c r="E47" s="43"/>
      <c r="G47" s="43"/>
      <c r="I47" s="43"/>
      <c r="M47" s="77"/>
    </row>
    <row r="48" spans="1:13" s="40" customFormat="1" ht="12.75" customHeight="1" x14ac:dyDescent="0.2">
      <c r="A48" s="617" t="s">
        <v>2692</v>
      </c>
      <c r="B48" s="39"/>
      <c r="C48" s="43">
        <v>14</v>
      </c>
      <c r="D48" s="63"/>
      <c r="E48" s="43">
        <v>20</v>
      </c>
      <c r="G48" s="43">
        <v>12</v>
      </c>
      <c r="I48" s="43">
        <v>15</v>
      </c>
      <c r="K48" s="42">
        <v>15</v>
      </c>
      <c r="M48" s="42"/>
    </row>
    <row r="49" spans="1:14" s="37" customFormat="1" x14ac:dyDescent="0.2">
      <c r="A49" s="617" t="s">
        <v>2693</v>
      </c>
      <c r="B49" s="39"/>
      <c r="C49" s="43">
        <v>112</v>
      </c>
      <c r="D49" s="87"/>
      <c r="E49" s="43">
        <v>120</v>
      </c>
      <c r="G49" s="43">
        <v>120</v>
      </c>
      <c r="I49" s="43">
        <v>120</v>
      </c>
      <c r="K49" s="42">
        <v>120</v>
      </c>
      <c r="M49" s="42"/>
      <c r="N49" s="40"/>
    </row>
    <row r="50" spans="1:14" s="40" customFormat="1" x14ac:dyDescent="0.2">
      <c r="A50" s="1443" t="s">
        <v>2694</v>
      </c>
      <c r="B50" s="39"/>
      <c r="C50" s="43"/>
      <c r="D50" s="63"/>
      <c r="E50" s="43"/>
      <c r="G50" s="43"/>
      <c r="I50" s="43"/>
    </row>
    <row r="51" spans="1:14" s="37" customFormat="1" x14ac:dyDescent="0.2">
      <c r="A51" s="210" t="s">
        <v>2695</v>
      </c>
      <c r="B51" s="39"/>
      <c r="C51" s="43">
        <v>930</v>
      </c>
      <c r="D51" s="87"/>
      <c r="E51" s="43">
        <v>1047</v>
      </c>
      <c r="G51" s="43">
        <v>1100</v>
      </c>
      <c r="I51" s="43">
        <v>1100</v>
      </c>
      <c r="K51" s="42">
        <v>1050</v>
      </c>
      <c r="M51" s="42"/>
      <c r="N51" s="40"/>
    </row>
    <row r="52" spans="1:14" s="37" customFormat="1" x14ac:dyDescent="0.2">
      <c r="A52" s="210" t="s">
        <v>2696</v>
      </c>
      <c r="B52" s="39"/>
      <c r="C52" s="43">
        <v>10597</v>
      </c>
      <c r="D52" s="87"/>
      <c r="E52" s="43">
        <v>9733</v>
      </c>
      <c r="G52" s="43">
        <v>11683</v>
      </c>
      <c r="I52" s="43">
        <v>12810</v>
      </c>
      <c r="K52" s="42">
        <v>13450</v>
      </c>
      <c r="M52" s="42"/>
      <c r="N52" s="40"/>
    </row>
    <row r="53" spans="1:14" s="37" customFormat="1" x14ac:dyDescent="0.2">
      <c r="A53" s="688" t="s">
        <v>2697</v>
      </c>
      <c r="B53" s="39"/>
      <c r="C53" s="43"/>
      <c r="D53" s="87"/>
      <c r="E53" s="43"/>
      <c r="G53" s="43"/>
      <c r="I53" s="43"/>
      <c r="M53" s="77"/>
      <c r="N53" s="40"/>
    </row>
    <row r="54" spans="1:14" s="37" customFormat="1" x14ac:dyDescent="0.2">
      <c r="A54" s="210" t="s">
        <v>2698</v>
      </c>
      <c r="B54" s="39"/>
      <c r="C54" s="43"/>
      <c r="D54" s="87"/>
      <c r="E54" s="43"/>
      <c r="G54" s="43"/>
      <c r="I54" s="43"/>
      <c r="M54" s="77"/>
      <c r="N54" s="40"/>
    </row>
    <row r="55" spans="1:14" s="37" customFormat="1" x14ac:dyDescent="0.2">
      <c r="A55" s="617" t="s">
        <v>2699</v>
      </c>
      <c r="B55" s="39"/>
      <c r="C55" s="955">
        <v>1680</v>
      </c>
      <c r="D55" s="1424"/>
      <c r="E55" s="955">
        <v>1840</v>
      </c>
      <c r="F55" s="1425"/>
      <c r="G55" s="955">
        <v>1850</v>
      </c>
      <c r="H55" s="1425"/>
      <c r="I55" s="955">
        <v>1890</v>
      </c>
      <c r="J55" s="1425"/>
      <c r="K55" s="955">
        <v>1920</v>
      </c>
      <c r="M55" s="892"/>
      <c r="N55" s="40"/>
    </row>
    <row r="56" spans="1:14" s="37" customFormat="1" x14ac:dyDescent="0.2">
      <c r="A56" s="617" t="s">
        <v>2700</v>
      </c>
      <c r="B56" s="39"/>
      <c r="C56" s="955">
        <v>24</v>
      </c>
      <c r="D56" s="1424"/>
      <c r="E56" s="955">
        <v>24</v>
      </c>
      <c r="F56" s="1425"/>
      <c r="G56" s="955">
        <v>24</v>
      </c>
      <c r="H56" s="1425"/>
      <c r="I56" s="955">
        <v>24</v>
      </c>
      <c r="J56" s="1425"/>
      <c r="K56" s="955">
        <v>24</v>
      </c>
      <c r="M56" s="892"/>
      <c r="N56" s="40"/>
    </row>
    <row r="57" spans="1:14" s="37" customFormat="1" x14ac:dyDescent="0.2">
      <c r="A57" s="1444" t="s">
        <v>2701</v>
      </c>
      <c r="B57" s="39"/>
      <c r="C57" s="955">
        <v>1250</v>
      </c>
      <c r="D57" s="1424"/>
      <c r="E57" s="955">
        <v>1625</v>
      </c>
      <c r="F57" s="1425"/>
      <c r="G57" s="955">
        <v>1700</v>
      </c>
      <c r="H57" s="1425"/>
      <c r="I57" s="955">
        <v>1700</v>
      </c>
      <c r="J57" s="1425"/>
      <c r="K57" s="955">
        <v>1710</v>
      </c>
      <c r="M57" s="1425"/>
    </row>
    <row r="58" spans="1:14" s="37" customFormat="1" x14ac:dyDescent="0.2">
      <c r="A58" s="1444" t="s">
        <v>2702</v>
      </c>
      <c r="B58" s="39"/>
      <c r="C58" s="955">
        <v>650</v>
      </c>
      <c r="D58" s="1424"/>
      <c r="E58" s="955">
        <v>750</v>
      </c>
      <c r="F58" s="1425"/>
      <c r="G58" s="955">
        <v>775</v>
      </c>
      <c r="H58" s="1425"/>
      <c r="I58" s="955">
        <v>775</v>
      </c>
      <c r="J58" s="1425"/>
      <c r="K58" s="955">
        <v>800</v>
      </c>
      <c r="M58" s="1425"/>
    </row>
    <row r="59" spans="1:14" s="37" customFormat="1" x14ac:dyDescent="0.2">
      <c r="A59" s="617" t="s">
        <v>2703</v>
      </c>
      <c r="B59" s="39"/>
      <c r="C59" s="955">
        <f>SUM(C55:C58)</f>
        <v>3604</v>
      </c>
      <c r="D59" s="1424"/>
      <c r="E59" s="955">
        <f>SUM(E55:E58)</f>
        <v>4239</v>
      </c>
      <c r="F59" s="1425"/>
      <c r="G59" s="955">
        <f>SUM(G55:G58)</f>
        <v>4349</v>
      </c>
      <c r="H59" s="1425"/>
      <c r="I59" s="955">
        <f>SUM(I55:I58)</f>
        <v>4389</v>
      </c>
      <c r="J59" s="1425"/>
      <c r="K59" s="955">
        <f>SUM(K55:K58)</f>
        <v>4454</v>
      </c>
      <c r="M59" s="892"/>
      <c r="N59" s="40"/>
    </row>
    <row r="60" spans="1:14" s="37" customFormat="1" x14ac:dyDescent="0.2">
      <c r="A60" s="210" t="s">
        <v>2704</v>
      </c>
      <c r="B60" s="39"/>
      <c r="C60" s="43"/>
      <c r="D60" s="87"/>
      <c r="E60" s="43"/>
      <c r="G60" s="43"/>
      <c r="I60" s="43"/>
      <c r="M60" s="77"/>
      <c r="N60" s="40"/>
    </row>
    <row r="61" spans="1:14" s="37" customFormat="1" x14ac:dyDescent="0.2">
      <c r="A61" s="617" t="s">
        <v>2689</v>
      </c>
      <c r="B61" s="36"/>
      <c r="C61" s="955">
        <v>15</v>
      </c>
      <c r="D61" s="955"/>
      <c r="E61" s="955">
        <v>15</v>
      </c>
      <c r="F61" s="955"/>
      <c r="G61" s="955">
        <v>10</v>
      </c>
      <c r="H61" s="955"/>
      <c r="I61" s="955">
        <v>10</v>
      </c>
      <c r="J61" s="955"/>
      <c r="K61" s="955">
        <v>9</v>
      </c>
      <c r="M61" s="1425"/>
    </row>
    <row r="62" spans="1:14" s="40" customFormat="1" x14ac:dyDescent="0.2">
      <c r="A62" s="617" t="s">
        <v>2690</v>
      </c>
      <c r="B62" s="39"/>
      <c r="C62" s="955">
        <v>103</v>
      </c>
      <c r="D62" s="955"/>
      <c r="E62" s="955">
        <v>110</v>
      </c>
      <c r="F62" s="955"/>
      <c r="G62" s="955">
        <v>115</v>
      </c>
      <c r="H62" s="955"/>
      <c r="I62" s="955">
        <v>115</v>
      </c>
      <c r="J62" s="955"/>
      <c r="K62" s="955">
        <v>117</v>
      </c>
      <c r="M62" s="1425"/>
      <c r="N62" s="37"/>
    </row>
    <row r="63" spans="1:14" s="40" customFormat="1" x14ac:dyDescent="0.2">
      <c r="A63" s="617" t="s">
        <v>2705</v>
      </c>
      <c r="B63" s="36"/>
      <c r="C63" s="955">
        <v>8500</v>
      </c>
      <c r="D63" s="955"/>
      <c r="E63" s="955">
        <v>14000</v>
      </c>
      <c r="F63" s="955"/>
      <c r="G63" s="955">
        <v>15000</v>
      </c>
      <c r="H63" s="955"/>
      <c r="I63" s="955">
        <v>15000</v>
      </c>
      <c r="J63" s="955"/>
      <c r="K63" s="955">
        <v>16000</v>
      </c>
      <c r="M63" s="1425"/>
      <c r="N63" s="37"/>
    </row>
    <row r="64" spans="1:14" s="40" customFormat="1" x14ac:dyDescent="0.2">
      <c r="A64" s="617" t="s">
        <v>2706</v>
      </c>
      <c r="B64" s="36"/>
      <c r="C64" s="955">
        <v>3450</v>
      </c>
      <c r="D64" s="955"/>
      <c r="E64" s="955">
        <v>3180</v>
      </c>
      <c r="F64" s="955"/>
      <c r="G64" s="955">
        <v>3200</v>
      </c>
      <c r="H64" s="955"/>
      <c r="I64" s="955">
        <v>3200</v>
      </c>
      <c r="J64" s="955"/>
      <c r="K64" s="955">
        <v>3400</v>
      </c>
      <c r="M64" s="1425"/>
      <c r="N64" s="37"/>
    </row>
    <row r="65" spans="1:17" s="40" customFormat="1" x14ac:dyDescent="0.2">
      <c r="A65" s="617" t="s">
        <v>2707</v>
      </c>
      <c r="B65" s="36"/>
      <c r="C65" s="955">
        <v>45</v>
      </c>
      <c r="D65" s="955"/>
      <c r="E65" s="955">
        <v>45</v>
      </c>
      <c r="F65" s="955"/>
      <c r="G65" s="955">
        <v>45</v>
      </c>
      <c r="H65" s="955"/>
      <c r="I65" s="955">
        <v>45</v>
      </c>
      <c r="J65" s="955"/>
      <c r="K65" s="955">
        <v>45</v>
      </c>
      <c r="M65" s="1425"/>
      <c r="N65" s="37"/>
    </row>
    <row r="66" spans="1:17" s="48" customFormat="1" x14ac:dyDescent="0.2">
      <c r="A66" s="210" t="s">
        <v>2708</v>
      </c>
      <c r="B66" s="36"/>
      <c r="C66" s="1445"/>
      <c r="D66" s="331"/>
      <c r="E66" s="1445"/>
      <c r="G66" s="1445"/>
      <c r="I66" s="1445"/>
      <c r="M66" s="89"/>
      <c r="N66" s="37"/>
    </row>
    <row r="67" spans="1:17" s="48" customFormat="1" x14ac:dyDescent="0.2">
      <c r="A67" s="617" t="s">
        <v>2709</v>
      </c>
      <c r="B67" s="36"/>
      <c r="C67" s="955">
        <v>8</v>
      </c>
      <c r="D67" s="955"/>
      <c r="E67" s="955">
        <v>19</v>
      </c>
      <c r="F67" s="955"/>
      <c r="G67" s="955">
        <v>25</v>
      </c>
      <c r="H67" s="955"/>
      <c r="I67" s="955">
        <v>25</v>
      </c>
      <c r="J67" s="955"/>
      <c r="K67" s="955">
        <v>27</v>
      </c>
      <c r="M67" s="1425"/>
      <c r="N67" s="37"/>
    </row>
    <row r="68" spans="1:17" x14ac:dyDescent="0.2">
      <c r="A68" s="617" t="s">
        <v>2710</v>
      </c>
      <c r="B68" s="36"/>
      <c r="C68" s="1446">
        <v>160</v>
      </c>
      <c r="D68" s="59"/>
      <c r="E68" s="1446">
        <v>191</v>
      </c>
      <c r="G68" s="1446">
        <v>200</v>
      </c>
      <c r="I68" s="1446">
        <v>200</v>
      </c>
      <c r="K68" s="59">
        <v>206</v>
      </c>
      <c r="M68" s="129"/>
      <c r="N68" s="37"/>
      <c r="O68" s="54"/>
      <c r="P68" s="54"/>
    </row>
    <row r="69" spans="1:17" x14ac:dyDescent="0.2">
      <c r="A69" s="617" t="s">
        <v>2711</v>
      </c>
      <c r="B69" s="36"/>
      <c r="C69" s="1447">
        <v>168</v>
      </c>
      <c r="D69" s="59"/>
      <c r="E69" s="1447">
        <v>210</v>
      </c>
      <c r="G69" s="1447">
        <v>220</v>
      </c>
      <c r="I69" s="1447">
        <f>SUM(I67:I68)</f>
        <v>225</v>
      </c>
      <c r="K69" s="358">
        <f>SUM(K67:K68)</f>
        <v>233</v>
      </c>
      <c r="M69" s="1425"/>
      <c r="N69" s="37"/>
      <c r="O69" s="54"/>
      <c r="P69" s="54"/>
    </row>
    <row r="70" spans="1:17" x14ac:dyDescent="0.2">
      <c r="A70" s="1448"/>
      <c r="B70" s="36"/>
      <c r="C70" s="1169"/>
      <c r="D70" s="59"/>
      <c r="G70" s="42"/>
      <c r="I70" s="42"/>
      <c r="M70" s="89"/>
      <c r="N70" s="37"/>
      <c r="O70" s="54"/>
      <c r="P70" s="54"/>
    </row>
    <row r="71" spans="1:17" x14ac:dyDescent="0.2">
      <c r="A71" s="131"/>
      <c r="B71" s="36"/>
      <c r="C71" s="1169"/>
      <c r="D71" s="59"/>
      <c r="G71" s="43"/>
      <c r="I71" s="43"/>
      <c r="M71" s="89"/>
      <c r="N71" s="37"/>
      <c r="O71" s="54"/>
      <c r="P71" s="54"/>
    </row>
    <row r="72" spans="1:17" x14ac:dyDescent="0.2">
      <c r="A72" s="35" t="s">
        <v>194</v>
      </c>
      <c r="B72" s="36"/>
      <c r="C72" s="1169"/>
      <c r="D72" s="59"/>
      <c r="M72" s="37"/>
      <c r="N72" s="37"/>
      <c r="O72" s="54"/>
      <c r="P72" s="54"/>
    </row>
    <row r="73" spans="1:17" x14ac:dyDescent="0.2">
      <c r="A73" s="35" t="s">
        <v>195</v>
      </c>
      <c r="B73" s="39"/>
      <c r="C73" s="1169"/>
      <c r="D73" s="59"/>
      <c r="M73" s="77"/>
      <c r="N73" s="40"/>
      <c r="O73" s="54"/>
      <c r="P73" s="54"/>
    </row>
    <row r="74" spans="1:17" x14ac:dyDescent="0.2">
      <c r="A74" s="38" t="s">
        <v>196</v>
      </c>
      <c r="B74" s="39"/>
      <c r="C74" s="1169"/>
      <c r="D74" s="59"/>
      <c r="M74" s="77"/>
      <c r="N74" s="40"/>
      <c r="O74" s="54"/>
      <c r="P74" s="54"/>
    </row>
    <row r="75" spans="1:17" x14ac:dyDescent="0.2">
      <c r="A75" s="41" t="s">
        <v>333</v>
      </c>
      <c r="B75" s="39"/>
      <c r="C75" s="1446">
        <v>735</v>
      </c>
      <c r="D75" s="59"/>
      <c r="E75" s="59">
        <v>730</v>
      </c>
      <c r="G75" s="59">
        <v>727</v>
      </c>
      <c r="I75" s="59">
        <v>628</v>
      </c>
      <c r="K75" s="59">
        <v>631</v>
      </c>
      <c r="M75" s="463"/>
      <c r="N75" s="40"/>
      <c r="O75" s="54"/>
      <c r="P75" s="54"/>
      <c r="Q75" s="57"/>
    </row>
    <row r="76" spans="1:17" x14ac:dyDescent="0.2">
      <c r="A76" s="41" t="s">
        <v>198</v>
      </c>
      <c r="B76" s="39"/>
      <c r="C76" s="1446">
        <v>735</v>
      </c>
      <c r="D76" s="59"/>
      <c r="E76" s="59">
        <v>730</v>
      </c>
      <c r="G76" s="59">
        <v>727</v>
      </c>
      <c r="I76" s="59">
        <v>628</v>
      </c>
      <c r="K76" s="59">
        <v>631</v>
      </c>
      <c r="M76" s="463"/>
      <c r="N76" s="40"/>
    </row>
    <row r="77" spans="1:17" x14ac:dyDescent="0.2">
      <c r="A77" s="38" t="s">
        <v>199</v>
      </c>
      <c r="B77" s="39"/>
      <c r="C77" s="1446"/>
      <c r="D77" s="59"/>
      <c r="M77" s="463"/>
      <c r="N77" s="40"/>
    </row>
    <row r="78" spans="1:17" x14ac:dyDescent="0.2">
      <c r="A78" s="41" t="s">
        <v>70</v>
      </c>
      <c r="B78" s="39"/>
      <c r="C78" s="1446">
        <v>735</v>
      </c>
      <c r="D78" s="59"/>
      <c r="E78" s="59">
        <v>730</v>
      </c>
      <c r="G78" s="59">
        <v>727</v>
      </c>
      <c r="I78" s="59">
        <v>628</v>
      </c>
      <c r="K78" s="59">
        <v>631</v>
      </c>
      <c r="M78" s="463"/>
      <c r="N78" s="40"/>
    </row>
    <row r="79" spans="1:17" x14ac:dyDescent="0.2">
      <c r="A79" s="41" t="s">
        <v>198</v>
      </c>
      <c r="B79" s="39"/>
      <c r="C79" s="1446">
        <v>735</v>
      </c>
      <c r="D79" s="59"/>
      <c r="E79" s="59">
        <v>730</v>
      </c>
      <c r="G79" s="59">
        <v>727</v>
      </c>
      <c r="I79" s="59">
        <v>628</v>
      </c>
      <c r="K79" s="59">
        <v>631</v>
      </c>
      <c r="M79" s="463"/>
      <c r="N79" s="40"/>
    </row>
    <row r="80" spans="1:17" x14ac:dyDescent="0.2">
      <c r="A80" s="41"/>
      <c r="B80" s="39"/>
      <c r="C80" s="59"/>
      <c r="D80" s="60"/>
      <c r="M80" s="77"/>
      <c r="N80" s="40"/>
    </row>
    <row r="81" spans="1:14" x14ac:dyDescent="0.2">
      <c r="A81" s="49" t="s">
        <v>200</v>
      </c>
      <c r="B81" s="50"/>
      <c r="C81" s="1449"/>
      <c r="D81" s="1450"/>
      <c r="E81" s="1451"/>
      <c r="F81" s="1450"/>
      <c r="G81" s="1451"/>
      <c r="H81" s="1450"/>
      <c r="I81" s="1451"/>
      <c r="J81" s="1450"/>
      <c r="K81" s="1451"/>
      <c r="L81" s="1450"/>
      <c r="M81" s="1449"/>
      <c r="N81" s="1450"/>
    </row>
    <row r="82" spans="1:14" ht="33.75" customHeight="1" x14ac:dyDescent="0.2">
      <c r="A82" s="1738" t="s">
        <v>218</v>
      </c>
      <c r="B82" s="1738"/>
      <c r="C82" s="1738"/>
      <c r="D82" s="1738"/>
      <c r="E82" s="1738"/>
      <c r="F82" s="1738"/>
      <c r="G82" s="1738"/>
      <c r="H82" s="1738"/>
      <c r="I82" s="1738"/>
      <c r="J82" s="1738"/>
      <c r="K82" s="1738"/>
      <c r="L82" s="1738"/>
      <c r="M82" s="1738"/>
      <c r="N82" s="1738"/>
    </row>
    <row r="83" spans="1:14" x14ac:dyDescent="0.2">
      <c r="A83" s="282" t="s">
        <v>2712</v>
      </c>
      <c r="B83" s="282"/>
      <c r="C83" s="282"/>
      <c r="D83" s="282"/>
      <c r="E83" s="239"/>
      <c r="F83" s="239"/>
      <c r="G83" s="239"/>
      <c r="H83" s="239"/>
      <c r="I83" s="285"/>
      <c r="J83" s="286"/>
      <c r="K83" s="285"/>
      <c r="L83" s="286"/>
      <c r="M83" s="285"/>
      <c r="N83" s="286"/>
    </row>
    <row r="84" spans="1:14" x14ac:dyDescent="0.2">
      <c r="A84" s="282"/>
      <c r="B84" s="282"/>
      <c r="C84" s="282"/>
      <c r="D84" s="282"/>
      <c r="E84" s="239"/>
      <c r="F84" s="239"/>
      <c r="G84" s="239"/>
      <c r="H84" s="239"/>
      <c r="I84" s="285"/>
      <c r="J84" s="286"/>
      <c r="K84" s="285"/>
      <c r="L84" s="286"/>
      <c r="M84" s="285"/>
      <c r="N84" s="286"/>
    </row>
    <row r="85" spans="1:14" x14ac:dyDescent="0.2">
      <c r="B85" s="25"/>
      <c r="C85" s="25"/>
      <c r="D85" s="25"/>
      <c r="E85" s="58"/>
      <c r="F85" s="58"/>
      <c r="G85" s="58"/>
      <c r="H85" s="58"/>
    </row>
    <row r="86" spans="1:14" x14ac:dyDescent="0.2">
      <c r="B86" s="25"/>
      <c r="C86" s="25"/>
      <c r="D86" s="25"/>
      <c r="E86" s="58"/>
      <c r="F86" s="58"/>
      <c r="G86" s="58"/>
      <c r="H86" s="58"/>
    </row>
    <row r="87" spans="1:14" x14ac:dyDescent="0.2">
      <c r="B87" s="25"/>
      <c r="C87" s="25"/>
      <c r="D87" s="25"/>
      <c r="E87" s="58"/>
      <c r="F87" s="58"/>
      <c r="G87" s="58"/>
      <c r="H87" s="58"/>
    </row>
    <row r="88" spans="1:14" x14ac:dyDescent="0.2">
      <c r="B88" s="25"/>
      <c r="C88" s="25"/>
      <c r="D88" s="25"/>
      <c r="E88" s="58"/>
      <c r="F88" s="58"/>
      <c r="G88" s="58"/>
      <c r="H88" s="58"/>
    </row>
    <row r="89" spans="1:14" x14ac:dyDescent="0.2">
      <c r="B89" s="25"/>
      <c r="C89" s="25"/>
      <c r="D89" s="25"/>
      <c r="E89" s="58"/>
      <c r="F89" s="58"/>
      <c r="G89" s="58"/>
      <c r="H89" s="58"/>
    </row>
    <row r="90" spans="1:14" x14ac:dyDescent="0.2">
      <c r="B90" s="25"/>
      <c r="C90" s="25"/>
      <c r="D90" s="25"/>
      <c r="E90" s="58"/>
      <c r="F90" s="58"/>
      <c r="G90" s="58"/>
      <c r="H90" s="58"/>
    </row>
    <row r="91" spans="1:14" x14ac:dyDescent="0.2">
      <c r="B91" s="25"/>
      <c r="C91" s="25"/>
      <c r="D91" s="25"/>
      <c r="E91" s="58"/>
      <c r="F91" s="58"/>
      <c r="G91" s="58"/>
      <c r="H91" s="58"/>
    </row>
    <row r="92" spans="1:14" x14ac:dyDescent="0.2">
      <c r="B92" s="25"/>
      <c r="C92" s="25"/>
      <c r="D92" s="25"/>
      <c r="E92" s="58"/>
      <c r="F92" s="58"/>
      <c r="G92" s="58"/>
      <c r="H92" s="58"/>
    </row>
    <row r="93" spans="1:14" x14ac:dyDescent="0.2">
      <c r="B93" s="25"/>
      <c r="C93" s="25"/>
      <c r="D93" s="25"/>
      <c r="E93" s="58"/>
      <c r="F93" s="58"/>
      <c r="G93" s="58"/>
      <c r="H93" s="58"/>
    </row>
    <row r="94" spans="1:14" x14ac:dyDescent="0.2">
      <c r="B94" s="25"/>
      <c r="C94" s="25"/>
      <c r="D94" s="25"/>
      <c r="E94" s="58"/>
      <c r="F94" s="58"/>
      <c r="G94" s="58"/>
      <c r="H94" s="58"/>
    </row>
    <row r="95" spans="1:14" x14ac:dyDescent="0.2">
      <c r="B95" s="25"/>
      <c r="C95" s="25"/>
      <c r="D95" s="25"/>
      <c r="E95" s="58"/>
      <c r="F95" s="58"/>
      <c r="G95" s="58"/>
      <c r="H95" s="58"/>
    </row>
    <row r="96" spans="1:14"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sheetData>
  <mergeCells count="2">
    <mergeCell ref="A82:N82"/>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5" right="0.5" top="0.25" bottom="0.65" header="0.5" footer="0.5"/>
  <pageSetup scale="54" pageOrder="overThenDown" orientation="portrait" blackAndWhite="1" r:id="rId1"/>
  <headerFooter alignWithMargins="0">
    <oddFooter>&amp;L&amp;F &amp;D &amp;T</oddFooter>
  </headerFooter>
  <rowBreaks count="1" manualBreakCount="1">
    <brk id="48"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0">
    <pageSetUpPr fitToPage="1"/>
  </sheetPr>
  <dimension ref="A1:Q138"/>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2.85546875" style="60" customWidth="1"/>
    <col min="11" max="11" width="13.7109375" style="59" customWidth="1"/>
    <col min="12" max="12" width="2.85546875" style="60" customWidth="1"/>
    <col min="13" max="13" width="13.7109375" style="59" hidden="1" customWidth="1"/>
    <col min="14" max="14" width="6.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1496</v>
      </c>
      <c r="C4" s="10" t="s">
        <v>36</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63"/>
      <c r="D10" s="63"/>
      <c r="E10" s="63"/>
      <c r="I10" s="63"/>
      <c r="K10" s="63"/>
    </row>
    <row r="11" spans="1:16" s="37" customFormat="1" x14ac:dyDescent="0.2">
      <c r="A11" s="688" t="s">
        <v>2713</v>
      </c>
      <c r="B11" s="36"/>
      <c r="C11" s="63"/>
      <c r="D11" s="63"/>
      <c r="E11" s="63"/>
      <c r="I11" s="63"/>
      <c r="K11" s="63"/>
    </row>
    <row r="12" spans="1:16" s="40" customFormat="1" x14ac:dyDescent="0.2">
      <c r="A12" s="90" t="s">
        <v>2714</v>
      </c>
      <c r="B12" s="39"/>
      <c r="C12" s="637">
        <v>1715</v>
      </c>
      <c r="D12" s="63"/>
      <c r="E12" s="637">
        <v>1782</v>
      </c>
      <c r="G12" s="981">
        <v>1750</v>
      </c>
      <c r="I12" s="637">
        <v>1852</v>
      </c>
      <c r="K12" s="637">
        <v>1889</v>
      </c>
      <c r="M12" s="637"/>
    </row>
    <row r="13" spans="1:16" s="40" customFormat="1" x14ac:dyDescent="0.2">
      <c r="A13" s="90" t="s">
        <v>2715</v>
      </c>
      <c r="B13" s="39"/>
      <c r="C13" s="76">
        <v>522</v>
      </c>
      <c r="D13" s="63"/>
      <c r="E13" s="76">
        <v>598</v>
      </c>
      <c r="G13" s="77">
        <v>550</v>
      </c>
      <c r="I13" s="76">
        <v>621</v>
      </c>
      <c r="K13" s="76">
        <v>646</v>
      </c>
      <c r="M13" s="76"/>
    </row>
    <row r="14" spans="1:16" s="37" customFormat="1" x14ac:dyDescent="0.2">
      <c r="A14" s="688" t="s">
        <v>2716</v>
      </c>
      <c r="B14" s="36"/>
      <c r="C14" s="63"/>
      <c r="D14" s="63"/>
      <c r="E14" s="63"/>
      <c r="I14" s="63"/>
      <c r="K14" s="63"/>
      <c r="M14" s="87"/>
    </row>
    <row r="15" spans="1:16" s="40" customFormat="1" x14ac:dyDescent="0.2">
      <c r="A15" s="90" t="s">
        <v>2717</v>
      </c>
      <c r="B15" s="39"/>
      <c r="C15" s="63"/>
      <c r="D15" s="63"/>
      <c r="E15" s="63"/>
      <c r="I15" s="63"/>
      <c r="K15" s="63"/>
      <c r="M15" s="63"/>
    </row>
    <row r="16" spans="1:16" s="40" customFormat="1" x14ac:dyDescent="0.2">
      <c r="A16" s="131" t="s">
        <v>2718</v>
      </c>
      <c r="B16" s="39"/>
      <c r="C16" s="611">
        <v>77037364</v>
      </c>
      <c r="D16" s="63"/>
      <c r="E16" s="611">
        <v>81012347</v>
      </c>
      <c r="G16" s="116">
        <v>79220649</v>
      </c>
      <c r="I16" s="611">
        <v>82401427</v>
      </c>
      <c r="K16" s="611">
        <v>84256174</v>
      </c>
      <c r="M16" s="611"/>
    </row>
    <row r="17" spans="1:13" s="40" customFormat="1" x14ac:dyDescent="0.2">
      <c r="A17" s="131" t="s">
        <v>2719</v>
      </c>
      <c r="B17" s="39"/>
      <c r="C17" s="611">
        <v>10156418</v>
      </c>
      <c r="D17" s="63"/>
      <c r="E17" s="611">
        <v>10696850</v>
      </c>
      <c r="G17" s="116">
        <v>11079911</v>
      </c>
      <c r="I17" s="611">
        <v>11192665</v>
      </c>
      <c r="K17" s="611">
        <v>11712274</v>
      </c>
      <c r="M17" s="611"/>
    </row>
    <row r="18" spans="1:13" s="40" customFormat="1" x14ac:dyDescent="0.2">
      <c r="A18" s="131" t="s">
        <v>2720</v>
      </c>
      <c r="B18" s="39"/>
      <c r="C18" s="611">
        <v>252205</v>
      </c>
      <c r="D18" s="63"/>
      <c r="E18" s="611">
        <v>262207</v>
      </c>
      <c r="G18" s="116">
        <v>270632</v>
      </c>
      <c r="I18" s="611">
        <v>274537</v>
      </c>
      <c r="K18" s="611">
        <v>288037</v>
      </c>
      <c r="M18" s="611"/>
    </row>
    <row r="19" spans="1:13" s="40" customFormat="1" x14ac:dyDescent="0.2">
      <c r="A19" s="131" t="s">
        <v>2721</v>
      </c>
      <c r="B19" s="39"/>
      <c r="C19" s="611">
        <v>1226786</v>
      </c>
      <c r="D19" s="63"/>
      <c r="E19" s="611">
        <v>1222041</v>
      </c>
      <c r="G19" s="116">
        <v>1365141</v>
      </c>
      <c r="I19" s="611">
        <v>1297033</v>
      </c>
      <c r="K19" s="611">
        <v>1378125</v>
      </c>
      <c r="M19" s="611"/>
    </row>
    <row r="20" spans="1:13" s="40" customFormat="1" x14ac:dyDescent="0.2">
      <c r="A20" s="90" t="s">
        <v>2722</v>
      </c>
      <c r="B20" s="39"/>
      <c r="C20" s="63"/>
      <c r="D20" s="63"/>
      <c r="E20" s="63"/>
      <c r="I20" s="63"/>
      <c r="K20" s="63"/>
      <c r="M20" s="611"/>
    </row>
    <row r="21" spans="1:13" s="40" customFormat="1" x14ac:dyDescent="0.2">
      <c r="A21" s="131" t="s">
        <v>2723</v>
      </c>
      <c r="B21" s="39"/>
      <c r="C21" s="611">
        <v>5025281</v>
      </c>
      <c r="D21" s="63"/>
      <c r="E21" s="611">
        <v>5039622</v>
      </c>
      <c r="G21" s="116">
        <v>5451778</v>
      </c>
      <c r="I21" s="611">
        <v>5348314</v>
      </c>
      <c r="K21" s="611">
        <v>5580302</v>
      </c>
      <c r="M21" s="611"/>
    </row>
    <row r="22" spans="1:13" s="40" customFormat="1" x14ac:dyDescent="0.2">
      <c r="A22" s="131" t="s">
        <v>2724</v>
      </c>
      <c r="B22" s="39"/>
      <c r="C22" s="611">
        <v>1834962</v>
      </c>
      <c r="D22" s="63"/>
      <c r="E22" s="611">
        <v>1364593</v>
      </c>
      <c r="G22" s="116">
        <v>1884084</v>
      </c>
      <c r="I22" s="611">
        <v>1596976</v>
      </c>
      <c r="K22" s="611">
        <v>1657288</v>
      </c>
      <c r="M22" s="611"/>
    </row>
    <row r="23" spans="1:13" s="40" customFormat="1" x14ac:dyDescent="0.2">
      <c r="A23" s="131" t="s">
        <v>2725</v>
      </c>
      <c r="B23" s="39"/>
      <c r="C23" s="611">
        <v>136914</v>
      </c>
      <c r="D23" s="63"/>
      <c r="E23" s="611">
        <v>136380</v>
      </c>
      <c r="G23" s="116">
        <v>148924</v>
      </c>
      <c r="I23" s="611">
        <v>148924</v>
      </c>
      <c r="K23" s="611">
        <v>155477</v>
      </c>
      <c r="M23" s="611"/>
    </row>
    <row r="24" spans="1:13" s="40" customFormat="1" x14ac:dyDescent="0.2">
      <c r="A24" s="90" t="s">
        <v>2726</v>
      </c>
      <c r="B24" s="39"/>
      <c r="C24" s="611">
        <v>211594</v>
      </c>
      <c r="D24" s="63"/>
      <c r="E24" s="611">
        <v>221850</v>
      </c>
      <c r="G24" s="116">
        <v>228908</v>
      </c>
      <c r="I24" s="611">
        <v>221504</v>
      </c>
      <c r="K24" s="611">
        <v>224892</v>
      </c>
      <c r="M24" s="611"/>
    </row>
    <row r="25" spans="1:13" s="40" customFormat="1" x14ac:dyDescent="0.2">
      <c r="A25" s="90" t="s">
        <v>2727</v>
      </c>
      <c r="B25" s="39"/>
      <c r="C25" s="901">
        <v>534167</v>
      </c>
      <c r="D25" s="63"/>
      <c r="E25" s="901">
        <v>536914</v>
      </c>
      <c r="G25" s="892">
        <v>540747</v>
      </c>
      <c r="I25" s="901">
        <v>543433</v>
      </c>
      <c r="K25" s="901">
        <v>542982</v>
      </c>
      <c r="M25" s="901"/>
    </row>
    <row r="26" spans="1:13" s="40" customFormat="1" x14ac:dyDescent="0.2">
      <c r="A26" s="90" t="s">
        <v>2728</v>
      </c>
      <c r="B26" s="39"/>
      <c r="C26" s="901">
        <v>320305</v>
      </c>
      <c r="D26" s="63"/>
      <c r="E26" s="901">
        <v>327996</v>
      </c>
      <c r="G26" s="892">
        <v>341476</v>
      </c>
      <c r="I26" s="901">
        <v>337958</v>
      </c>
      <c r="K26" s="901">
        <v>348231</v>
      </c>
      <c r="M26" s="901"/>
    </row>
    <row r="27" spans="1:13" s="40" customFormat="1" x14ac:dyDescent="0.2">
      <c r="A27" s="90" t="s">
        <v>2729</v>
      </c>
      <c r="B27" s="39"/>
      <c r="C27" s="63"/>
      <c r="D27" s="63"/>
      <c r="E27" s="63"/>
      <c r="I27" s="63"/>
      <c r="K27" s="63"/>
      <c r="M27" s="63"/>
    </row>
    <row r="28" spans="1:13" s="40" customFormat="1" x14ac:dyDescent="0.2">
      <c r="A28" s="131" t="s">
        <v>2730</v>
      </c>
      <c r="B28" s="39"/>
      <c r="C28" s="901">
        <v>2689</v>
      </c>
      <c r="D28" s="63"/>
      <c r="E28" s="901">
        <v>2640</v>
      </c>
      <c r="G28" s="892">
        <v>2488</v>
      </c>
      <c r="I28" s="901">
        <v>2562</v>
      </c>
      <c r="K28" s="901">
        <v>2487</v>
      </c>
      <c r="M28" s="901"/>
    </row>
    <row r="29" spans="1:13" s="40" customFormat="1" x14ac:dyDescent="0.2">
      <c r="A29" s="131" t="s">
        <v>2731</v>
      </c>
      <c r="B29" s="39"/>
      <c r="C29" s="901">
        <v>397624</v>
      </c>
      <c r="D29" s="63"/>
      <c r="E29" s="901">
        <v>395164</v>
      </c>
      <c r="G29" s="892">
        <v>398408</v>
      </c>
      <c r="I29" s="901">
        <v>395726</v>
      </c>
      <c r="K29" s="901">
        <v>397615</v>
      </c>
      <c r="M29" s="901"/>
    </row>
    <row r="30" spans="1:13" s="40" customFormat="1" x14ac:dyDescent="0.2">
      <c r="A30" s="131" t="s">
        <v>2732</v>
      </c>
      <c r="B30" s="39"/>
      <c r="C30" s="901">
        <v>841943</v>
      </c>
      <c r="D30" s="63"/>
      <c r="E30" s="901">
        <v>835150</v>
      </c>
      <c r="G30" s="892">
        <v>835605</v>
      </c>
      <c r="I30" s="901">
        <v>829540</v>
      </c>
      <c r="K30" s="901">
        <v>829854</v>
      </c>
      <c r="M30" s="901"/>
    </row>
    <row r="31" spans="1:13" s="40" customFormat="1" x14ac:dyDescent="0.2">
      <c r="A31" s="131" t="s">
        <v>2733</v>
      </c>
      <c r="B31" s="39"/>
      <c r="C31" s="901">
        <v>343664</v>
      </c>
      <c r="D31" s="63"/>
      <c r="E31" s="901">
        <v>344907</v>
      </c>
      <c r="G31" s="892">
        <v>342318</v>
      </c>
      <c r="I31" s="901">
        <v>342592</v>
      </c>
      <c r="K31" s="901">
        <v>345389</v>
      </c>
      <c r="M31" s="901"/>
    </row>
    <row r="32" spans="1:13" s="40" customFormat="1" x14ac:dyDescent="0.2">
      <c r="A32" s="131" t="s">
        <v>2734</v>
      </c>
      <c r="B32" s="39"/>
      <c r="C32" s="901">
        <v>704013</v>
      </c>
      <c r="D32" s="63"/>
      <c r="E32" s="901">
        <v>707498</v>
      </c>
      <c r="G32" s="892">
        <v>693010</v>
      </c>
      <c r="I32" s="901">
        <v>694772</v>
      </c>
      <c r="K32" s="901">
        <v>697384</v>
      </c>
      <c r="M32" s="901"/>
    </row>
    <row r="33" spans="1:13" s="40" customFormat="1" x14ac:dyDescent="0.2">
      <c r="A33" s="131" t="s">
        <v>2735</v>
      </c>
      <c r="B33" s="39"/>
      <c r="C33" s="901">
        <v>193500</v>
      </c>
      <c r="D33" s="63"/>
      <c r="E33" s="901">
        <v>195695</v>
      </c>
      <c r="G33" s="892">
        <v>206903</v>
      </c>
      <c r="I33" s="901">
        <v>198565</v>
      </c>
      <c r="K33" s="901">
        <v>201518</v>
      </c>
      <c r="M33" s="901"/>
    </row>
    <row r="34" spans="1:13" s="40" customFormat="1" x14ac:dyDescent="0.2">
      <c r="A34" s="131" t="s">
        <v>2736</v>
      </c>
      <c r="B34" s="39"/>
      <c r="C34" s="901">
        <v>398434</v>
      </c>
      <c r="D34" s="63"/>
      <c r="E34" s="901">
        <v>402936</v>
      </c>
      <c r="G34" s="892">
        <v>426032</v>
      </c>
      <c r="I34" s="901">
        <v>408845</v>
      </c>
      <c r="K34" s="901">
        <v>414926</v>
      </c>
      <c r="M34" s="901"/>
    </row>
    <row r="35" spans="1:13" s="40" customFormat="1" x14ac:dyDescent="0.2">
      <c r="A35" s="90" t="s">
        <v>2737</v>
      </c>
      <c r="B35" s="39"/>
      <c r="C35" s="63"/>
      <c r="D35" s="63"/>
      <c r="E35" s="63"/>
      <c r="I35" s="63"/>
      <c r="K35" s="63"/>
      <c r="M35" s="63"/>
    </row>
    <row r="36" spans="1:13" s="40" customFormat="1" x14ac:dyDescent="0.2">
      <c r="A36" s="131" t="s">
        <v>2738</v>
      </c>
      <c r="B36" s="39"/>
      <c r="C36" s="901">
        <v>24803</v>
      </c>
      <c r="D36" s="63"/>
      <c r="E36" s="901">
        <v>39081</v>
      </c>
      <c r="G36" s="892">
        <v>25500</v>
      </c>
      <c r="I36" s="901">
        <v>39500</v>
      </c>
      <c r="K36" s="901">
        <v>40000</v>
      </c>
      <c r="M36" s="901"/>
    </row>
    <row r="37" spans="1:13" s="40" customFormat="1" x14ac:dyDescent="0.2">
      <c r="A37" s="131" t="s">
        <v>2739</v>
      </c>
      <c r="B37" s="39"/>
      <c r="C37" s="901">
        <v>2830</v>
      </c>
      <c r="D37" s="63"/>
      <c r="E37" s="901">
        <v>2623</v>
      </c>
      <c r="G37" s="892">
        <v>3000</v>
      </c>
      <c r="I37" s="901">
        <v>2700</v>
      </c>
      <c r="K37" s="901">
        <v>2750</v>
      </c>
      <c r="M37" s="901"/>
    </row>
    <row r="38" spans="1:13" s="40" customFormat="1" x14ac:dyDescent="0.2">
      <c r="A38" s="131" t="s">
        <v>2740</v>
      </c>
      <c r="B38" s="39"/>
      <c r="C38" s="901">
        <v>8453</v>
      </c>
      <c r="D38" s="63"/>
      <c r="E38" s="901">
        <v>6450</v>
      </c>
      <c r="G38" s="892">
        <v>8600</v>
      </c>
      <c r="I38" s="901">
        <v>6400</v>
      </c>
      <c r="K38" s="901">
        <v>6400</v>
      </c>
      <c r="M38" s="901"/>
    </row>
    <row r="39" spans="1:13" s="40" customFormat="1" x14ac:dyDescent="0.2">
      <c r="A39" s="131" t="s">
        <v>2741</v>
      </c>
      <c r="B39" s="39"/>
      <c r="C39" s="901">
        <v>9495</v>
      </c>
      <c r="D39" s="63"/>
      <c r="E39" s="901">
        <v>10542</v>
      </c>
      <c r="G39" s="892">
        <v>10500</v>
      </c>
      <c r="I39" s="901">
        <v>10800</v>
      </c>
      <c r="K39" s="901">
        <v>11000</v>
      </c>
      <c r="M39" s="901"/>
    </row>
    <row r="40" spans="1:13" s="40" customFormat="1" x14ac:dyDescent="0.2">
      <c r="A40" s="131" t="s">
        <v>2742</v>
      </c>
      <c r="B40" s="39"/>
      <c r="C40" s="901">
        <v>45692</v>
      </c>
      <c r="D40" s="63"/>
      <c r="E40" s="901">
        <v>43965</v>
      </c>
      <c r="G40" s="892">
        <v>46500</v>
      </c>
      <c r="I40" s="901">
        <v>44000</v>
      </c>
      <c r="K40" s="901">
        <v>44500</v>
      </c>
      <c r="M40" s="901"/>
    </row>
    <row r="41" spans="1:13" s="40" customFormat="1" x14ac:dyDescent="0.2">
      <c r="A41" s="131" t="s">
        <v>2743</v>
      </c>
      <c r="B41" s="39"/>
      <c r="C41" s="901">
        <v>17502</v>
      </c>
      <c r="D41" s="63"/>
      <c r="E41" s="901">
        <v>21127</v>
      </c>
      <c r="G41" s="892">
        <v>19000</v>
      </c>
      <c r="I41" s="901">
        <v>21200</v>
      </c>
      <c r="K41" s="901">
        <v>22000</v>
      </c>
      <c r="M41" s="901"/>
    </row>
    <row r="42" spans="1:13" s="40" customFormat="1" x14ac:dyDescent="0.2">
      <c r="A42" s="131" t="s">
        <v>2744</v>
      </c>
      <c r="B42" s="39"/>
      <c r="C42" s="901">
        <v>12049</v>
      </c>
      <c r="D42" s="63"/>
      <c r="E42" s="901">
        <v>12246</v>
      </c>
      <c r="G42" s="892">
        <v>12200</v>
      </c>
      <c r="I42" s="901">
        <v>12500</v>
      </c>
      <c r="K42" s="901">
        <v>12800</v>
      </c>
      <c r="M42" s="901"/>
    </row>
    <row r="43" spans="1:13" s="40" customFormat="1" x14ac:dyDescent="0.2">
      <c r="A43" s="131" t="s">
        <v>2745</v>
      </c>
      <c r="B43" s="39"/>
      <c r="C43" s="901">
        <v>100656</v>
      </c>
      <c r="D43" s="63"/>
      <c r="E43" s="901">
        <v>93883</v>
      </c>
      <c r="G43" s="892">
        <v>96000</v>
      </c>
      <c r="I43" s="901">
        <v>92000</v>
      </c>
      <c r="K43" s="901">
        <v>90000</v>
      </c>
      <c r="M43" s="901"/>
    </row>
    <row r="44" spans="1:13" s="40" customFormat="1" x14ac:dyDescent="0.2">
      <c r="A44" s="90" t="s">
        <v>2746</v>
      </c>
      <c r="B44" s="39"/>
      <c r="C44" s="63"/>
      <c r="D44" s="63"/>
      <c r="E44" s="63"/>
      <c r="I44" s="63"/>
      <c r="K44" s="63"/>
      <c r="M44" s="63"/>
    </row>
    <row r="45" spans="1:13" s="40" customFormat="1" x14ac:dyDescent="0.2">
      <c r="A45" s="131" t="s">
        <v>2519</v>
      </c>
      <c r="B45" s="39"/>
      <c r="C45" s="901">
        <v>863223</v>
      </c>
      <c r="D45" s="63"/>
      <c r="E45" s="901">
        <v>908488</v>
      </c>
      <c r="G45" s="892">
        <v>898097</v>
      </c>
      <c r="I45" s="901">
        <v>953912</v>
      </c>
      <c r="K45" s="901">
        <v>1001608</v>
      </c>
      <c r="M45" s="901"/>
    </row>
    <row r="46" spans="1:13" s="40" customFormat="1" x14ac:dyDescent="0.2">
      <c r="A46" s="131" t="s">
        <v>2747</v>
      </c>
      <c r="B46" s="39"/>
      <c r="C46" s="901">
        <v>13627</v>
      </c>
      <c r="D46" s="63"/>
      <c r="E46" s="901">
        <v>14733</v>
      </c>
      <c r="G46" s="892">
        <v>14178</v>
      </c>
      <c r="I46" s="901">
        <v>15400</v>
      </c>
      <c r="K46" s="901">
        <v>16150</v>
      </c>
      <c r="M46" s="901"/>
    </row>
    <row r="47" spans="1:13" s="40" customFormat="1" x14ac:dyDescent="0.2">
      <c r="A47" s="131" t="s">
        <v>2748</v>
      </c>
      <c r="B47" s="39"/>
      <c r="C47" s="901">
        <v>46349</v>
      </c>
      <c r="D47" s="63"/>
      <c r="E47" s="901">
        <v>33475</v>
      </c>
      <c r="G47" s="892">
        <v>48222</v>
      </c>
      <c r="I47" s="901">
        <v>40000</v>
      </c>
      <c r="K47" s="901">
        <v>42000</v>
      </c>
      <c r="M47" s="901"/>
    </row>
    <row r="48" spans="1:13" s="40" customFormat="1" x14ac:dyDescent="0.2">
      <c r="A48" s="131" t="s">
        <v>2524</v>
      </c>
      <c r="B48" s="39"/>
      <c r="C48" s="901">
        <v>44581</v>
      </c>
      <c r="D48" s="63"/>
      <c r="E48" s="901">
        <v>44543</v>
      </c>
      <c r="G48" s="892">
        <v>46382</v>
      </c>
      <c r="I48" s="901">
        <v>44600</v>
      </c>
      <c r="K48" s="901">
        <v>45000</v>
      </c>
      <c r="M48" s="901"/>
    </row>
    <row r="49" spans="1:13" s="40" customFormat="1" x14ac:dyDescent="0.2">
      <c r="A49" s="131" t="s">
        <v>2749</v>
      </c>
      <c r="B49" s="39"/>
      <c r="C49" s="901">
        <v>1431680</v>
      </c>
      <c r="D49" s="63"/>
      <c r="E49" s="901">
        <v>1309554</v>
      </c>
      <c r="G49" s="892">
        <v>1530000</v>
      </c>
      <c r="I49" s="901">
        <v>1450000</v>
      </c>
      <c r="K49" s="901">
        <v>1465000</v>
      </c>
      <c r="M49" s="901"/>
    </row>
    <row r="50" spans="1:13" s="40" customFormat="1" x14ac:dyDescent="0.2">
      <c r="A50" s="131" t="s">
        <v>2750</v>
      </c>
      <c r="B50" s="39"/>
      <c r="C50" s="901">
        <v>8870169</v>
      </c>
      <c r="D50" s="63"/>
      <c r="E50" s="901">
        <v>9055951</v>
      </c>
      <c r="G50" s="892">
        <v>9100000</v>
      </c>
      <c r="I50" s="901">
        <v>9245000</v>
      </c>
      <c r="K50" s="901">
        <v>9430000</v>
      </c>
      <c r="M50" s="901"/>
    </row>
    <row r="51" spans="1:13" s="40" customFormat="1" x14ac:dyDescent="0.2">
      <c r="A51" s="131" t="s">
        <v>2751</v>
      </c>
      <c r="B51" s="39"/>
      <c r="C51" s="901">
        <v>327</v>
      </c>
      <c r="D51" s="63"/>
      <c r="E51" s="901">
        <v>467</v>
      </c>
      <c r="G51" s="892">
        <v>340</v>
      </c>
      <c r="I51" s="901">
        <v>500</v>
      </c>
      <c r="K51" s="901">
        <v>525</v>
      </c>
      <c r="M51" s="901"/>
    </row>
    <row r="52" spans="1:13" s="37" customFormat="1" x14ac:dyDescent="0.2">
      <c r="A52" s="688" t="s">
        <v>2752</v>
      </c>
      <c r="B52" s="36"/>
      <c r="C52" s="63"/>
      <c r="D52" s="63"/>
      <c r="E52" s="63"/>
      <c r="I52" s="63"/>
      <c r="K52" s="63"/>
      <c r="M52" s="87"/>
    </row>
    <row r="53" spans="1:13" s="40" customFormat="1" x14ac:dyDescent="0.2">
      <c r="A53" s="90" t="s">
        <v>2753</v>
      </c>
      <c r="B53" s="39"/>
      <c r="C53" s="901">
        <v>265</v>
      </c>
      <c r="D53" s="63"/>
      <c r="E53" s="901">
        <v>264</v>
      </c>
      <c r="G53" s="901">
        <v>262</v>
      </c>
      <c r="I53" s="901">
        <v>270</v>
      </c>
      <c r="K53" s="901">
        <v>270</v>
      </c>
      <c r="M53" s="901"/>
    </row>
    <row r="54" spans="1:13" s="40" customFormat="1" x14ac:dyDescent="0.2">
      <c r="A54" s="90" t="s">
        <v>2754</v>
      </c>
      <c r="B54" s="39"/>
      <c r="C54" s="901">
        <v>5541000</v>
      </c>
      <c r="D54" s="63"/>
      <c r="E54" s="901">
        <v>5538000</v>
      </c>
      <c r="G54" s="901">
        <v>5530000</v>
      </c>
      <c r="I54" s="901">
        <v>5550000</v>
      </c>
      <c r="K54" s="901">
        <v>5565000</v>
      </c>
      <c r="M54" s="901"/>
    </row>
    <row r="55" spans="1:13" s="40" customFormat="1" x14ac:dyDescent="0.2">
      <c r="A55" s="90" t="s">
        <v>2755</v>
      </c>
      <c r="B55" s="39"/>
      <c r="C55" s="901">
        <v>5520000</v>
      </c>
      <c r="D55" s="63"/>
      <c r="E55" s="901">
        <v>5520000</v>
      </c>
      <c r="G55" s="901">
        <v>5520000</v>
      </c>
      <c r="I55" s="901">
        <v>5520000</v>
      </c>
      <c r="K55" s="901">
        <v>5512000</v>
      </c>
      <c r="M55" s="901"/>
    </row>
    <row r="56" spans="1:13" s="40" customFormat="1" x14ac:dyDescent="0.2">
      <c r="A56" s="90"/>
      <c r="B56" s="39"/>
      <c r="C56" s="63"/>
      <c r="D56" s="63"/>
      <c r="E56" s="63"/>
      <c r="I56" s="63"/>
      <c r="K56" s="63"/>
      <c r="M56" s="63"/>
    </row>
    <row r="57" spans="1:13" s="37" customFormat="1" x14ac:dyDescent="0.2">
      <c r="A57" s="35" t="s">
        <v>194</v>
      </c>
      <c r="B57" s="36"/>
      <c r="C57" s="63"/>
      <c r="D57" s="63"/>
      <c r="E57" s="63"/>
      <c r="I57" s="63"/>
      <c r="K57" s="63"/>
      <c r="M57" s="87"/>
    </row>
    <row r="58" spans="1:13" s="37" customFormat="1" x14ac:dyDescent="0.2">
      <c r="A58" s="35" t="s">
        <v>195</v>
      </c>
      <c r="B58" s="36"/>
      <c r="C58" s="63"/>
      <c r="D58" s="63"/>
      <c r="E58" s="63"/>
      <c r="I58" s="63"/>
      <c r="K58" s="63"/>
      <c r="M58" s="87"/>
    </row>
    <row r="59" spans="1:13" s="40" customFormat="1" x14ac:dyDescent="0.2">
      <c r="A59" s="38" t="s">
        <v>196</v>
      </c>
      <c r="B59" s="39"/>
      <c r="C59" s="63"/>
      <c r="D59" s="63"/>
      <c r="E59" s="63"/>
      <c r="I59" s="63"/>
      <c r="K59" s="63"/>
      <c r="M59" s="63"/>
    </row>
    <row r="60" spans="1:13" s="40" customFormat="1" x14ac:dyDescent="0.2">
      <c r="A60" s="41" t="s">
        <v>197</v>
      </c>
      <c r="B60" s="39"/>
      <c r="C60" s="76">
        <v>289</v>
      </c>
      <c r="D60" s="63"/>
      <c r="E60" s="76">
        <v>282</v>
      </c>
      <c r="G60" s="76">
        <v>280</v>
      </c>
      <c r="I60" s="76">
        <v>288</v>
      </c>
      <c r="K60" s="76">
        <v>293</v>
      </c>
      <c r="M60" s="76"/>
    </row>
    <row r="61" spans="1:13" s="40" customFormat="1" x14ac:dyDescent="0.2">
      <c r="A61" s="41" t="s">
        <v>262</v>
      </c>
      <c r="B61" s="39"/>
      <c r="C61" s="76">
        <v>307</v>
      </c>
      <c r="D61" s="63"/>
      <c r="E61" s="76">
        <v>309</v>
      </c>
      <c r="G61" s="76">
        <v>309</v>
      </c>
      <c r="I61" s="76">
        <v>318</v>
      </c>
      <c r="K61" s="76">
        <v>321</v>
      </c>
      <c r="M61" s="76"/>
    </row>
    <row r="62" spans="1:13" s="40" customFormat="1" x14ac:dyDescent="0.2">
      <c r="A62" s="41" t="s">
        <v>198</v>
      </c>
      <c r="B62" s="39"/>
      <c r="C62" s="76">
        <v>596</v>
      </c>
      <c r="D62" s="63"/>
      <c r="E62" s="76">
        <v>591</v>
      </c>
      <c r="G62" s="76">
        <v>589</v>
      </c>
      <c r="I62" s="76">
        <v>606</v>
      </c>
      <c r="K62" s="76">
        <v>614</v>
      </c>
      <c r="M62" s="76"/>
    </row>
    <row r="63" spans="1:13" s="40" customFormat="1" x14ac:dyDescent="0.2">
      <c r="A63" s="38" t="s">
        <v>199</v>
      </c>
      <c r="B63" s="39"/>
      <c r="C63" s="63"/>
      <c r="D63" s="63"/>
      <c r="E63" s="63"/>
      <c r="I63" s="63"/>
      <c r="K63" s="63"/>
      <c r="M63" s="63"/>
    </row>
    <row r="64" spans="1:13" s="40" customFormat="1" x14ac:dyDescent="0.2">
      <c r="A64" s="41" t="s">
        <v>2756</v>
      </c>
      <c r="B64" s="39"/>
      <c r="C64" s="577">
        <v>1</v>
      </c>
      <c r="D64" s="63"/>
      <c r="E64" s="577">
        <v>1</v>
      </c>
      <c r="G64" s="577">
        <v>1</v>
      </c>
      <c r="I64" s="577">
        <v>1</v>
      </c>
      <c r="K64" s="577">
        <v>1</v>
      </c>
      <c r="M64" s="577"/>
    </row>
    <row r="65" spans="1:17" s="40" customFormat="1" x14ac:dyDescent="0.2">
      <c r="A65" s="41" t="s">
        <v>2757</v>
      </c>
      <c r="B65" s="39"/>
      <c r="C65" s="577">
        <v>84</v>
      </c>
      <c r="D65" s="63"/>
      <c r="E65" s="577">
        <v>78</v>
      </c>
      <c r="G65" s="577">
        <v>79</v>
      </c>
      <c r="I65" s="577">
        <v>82</v>
      </c>
      <c r="K65" s="577">
        <v>82</v>
      </c>
      <c r="M65" s="577"/>
    </row>
    <row r="66" spans="1:17" s="40" customFormat="1" x14ac:dyDescent="0.2">
      <c r="A66" s="41" t="s">
        <v>2758</v>
      </c>
      <c r="B66" s="39"/>
      <c r="C66" s="577">
        <v>5</v>
      </c>
      <c r="D66" s="63"/>
      <c r="E66" s="577">
        <v>5</v>
      </c>
      <c r="G66" s="577">
        <v>5</v>
      </c>
      <c r="I66" s="577">
        <v>5</v>
      </c>
      <c r="K66" s="577">
        <v>5</v>
      </c>
      <c r="M66" s="577"/>
    </row>
    <row r="67" spans="1:17" s="40" customFormat="1" x14ac:dyDescent="0.2">
      <c r="A67" s="41" t="s">
        <v>2716</v>
      </c>
      <c r="B67" s="39"/>
      <c r="C67" s="577">
        <v>275</v>
      </c>
      <c r="D67" s="63"/>
      <c r="E67" s="577">
        <v>279</v>
      </c>
      <c r="G67" s="577">
        <v>279</v>
      </c>
      <c r="I67" s="577">
        <v>288</v>
      </c>
      <c r="K67" s="577">
        <v>288</v>
      </c>
      <c r="M67" s="577"/>
    </row>
    <row r="68" spans="1:17" s="40" customFormat="1" x14ac:dyDescent="0.2">
      <c r="A68" s="41" t="s">
        <v>2759</v>
      </c>
      <c r="B68" s="39"/>
      <c r="C68" s="577">
        <v>156</v>
      </c>
      <c r="D68" s="63"/>
      <c r="E68" s="577">
        <v>153</v>
      </c>
      <c r="G68" s="577">
        <v>150</v>
      </c>
      <c r="I68" s="577">
        <v>155</v>
      </c>
      <c r="K68" s="577">
        <v>155</v>
      </c>
      <c r="M68" s="577"/>
    </row>
    <row r="69" spans="1:17" s="40" customFormat="1" x14ac:dyDescent="0.2">
      <c r="A69" s="41" t="s">
        <v>2760</v>
      </c>
      <c r="B69" s="39"/>
      <c r="C69" s="577">
        <v>44</v>
      </c>
      <c r="D69" s="63"/>
      <c r="E69" s="577">
        <v>46</v>
      </c>
      <c r="G69" s="577">
        <v>46</v>
      </c>
      <c r="I69" s="577">
        <v>46</v>
      </c>
      <c r="K69" s="577">
        <v>51</v>
      </c>
      <c r="M69" s="577"/>
    </row>
    <row r="70" spans="1:17" s="40" customFormat="1" x14ac:dyDescent="0.2">
      <c r="A70" s="41" t="s">
        <v>2761</v>
      </c>
      <c r="B70" s="39"/>
      <c r="C70" s="577">
        <v>31</v>
      </c>
      <c r="D70" s="63"/>
      <c r="E70" s="577">
        <v>29</v>
      </c>
      <c r="G70" s="577">
        <v>29</v>
      </c>
      <c r="I70" s="577">
        <v>29</v>
      </c>
      <c r="K70" s="577">
        <v>32</v>
      </c>
      <c r="M70" s="577"/>
    </row>
    <row r="71" spans="1:17" s="40" customFormat="1" x14ac:dyDescent="0.2">
      <c r="A71" s="41" t="s">
        <v>198</v>
      </c>
      <c r="B71" s="39"/>
      <c r="C71" s="577">
        <v>596</v>
      </c>
      <c r="D71" s="63"/>
      <c r="E71" s="577">
        <v>591</v>
      </c>
      <c r="G71" s="577">
        <v>589</v>
      </c>
      <c r="I71" s="577">
        <v>606</v>
      </c>
      <c r="K71" s="577">
        <v>614</v>
      </c>
      <c r="M71" s="1401"/>
    </row>
    <row r="72" spans="1:17" s="37" customFormat="1" x14ac:dyDescent="0.2">
      <c r="A72" s="35"/>
      <c r="B72" s="36"/>
      <c r="C72" s="63"/>
      <c r="D72" s="63"/>
    </row>
    <row r="73" spans="1:17" s="48" customFormat="1" x14ac:dyDescent="0.2">
      <c r="A73" s="46"/>
      <c r="B73" s="47"/>
    </row>
    <row r="74" spans="1:17" s="48" customFormat="1" x14ac:dyDescent="0.2">
      <c r="A74" s="49" t="s">
        <v>200</v>
      </c>
      <c r="B74" s="50"/>
      <c r="C74" s="51"/>
      <c r="D74" s="52"/>
      <c r="E74" s="53"/>
      <c r="F74" s="52"/>
      <c r="G74" s="53"/>
      <c r="H74" s="52"/>
      <c r="I74" s="53"/>
      <c r="J74" s="52"/>
      <c r="K74" s="53"/>
      <c r="L74" s="52"/>
      <c r="M74" s="51"/>
      <c r="N74" s="52"/>
    </row>
    <row r="75" spans="1:17" ht="27.75" customHeight="1" x14ac:dyDescent="0.2">
      <c r="A75" s="1738" t="s">
        <v>264</v>
      </c>
      <c r="B75" s="1736"/>
      <c r="C75" s="1737"/>
      <c r="D75" s="1736"/>
      <c r="E75" s="1737"/>
      <c r="F75" s="1736"/>
      <c r="G75" s="1737"/>
      <c r="H75" s="1736"/>
      <c r="I75" s="1737"/>
      <c r="J75" s="1736"/>
      <c r="K75" s="1737"/>
      <c r="L75" s="1736"/>
      <c r="M75" s="1737"/>
      <c r="N75" s="1736"/>
      <c r="O75" s="54"/>
      <c r="P75" s="54"/>
      <c r="Q75" s="951"/>
    </row>
    <row r="76" spans="1:17" ht="27.75" customHeight="1" x14ac:dyDescent="0.2">
      <c r="A76" s="1738"/>
      <c r="B76" s="1736"/>
      <c r="C76" s="1737"/>
      <c r="D76" s="1736"/>
      <c r="E76" s="1737"/>
      <c r="F76" s="1736"/>
      <c r="G76" s="1737"/>
      <c r="H76" s="1736"/>
      <c r="I76" s="1737"/>
      <c r="J76" s="1736"/>
      <c r="K76" s="1737"/>
      <c r="L76" s="1736"/>
      <c r="M76" s="1737"/>
      <c r="N76" s="1736"/>
      <c r="O76" s="54"/>
      <c r="P76" s="54"/>
      <c r="Q76" s="951"/>
    </row>
    <row r="77" spans="1:17" ht="27.75" customHeight="1" x14ac:dyDescent="0.2">
      <c r="A77" s="1738"/>
      <c r="B77" s="1736"/>
      <c r="C77" s="1737"/>
      <c r="D77" s="1736"/>
      <c r="E77" s="1737"/>
      <c r="F77" s="1736"/>
      <c r="G77" s="1737"/>
      <c r="H77" s="1736"/>
      <c r="I77" s="1737"/>
      <c r="J77" s="1736"/>
      <c r="K77" s="1737"/>
      <c r="L77" s="1736"/>
      <c r="M77" s="1737"/>
      <c r="N77" s="1736"/>
      <c r="O77" s="54"/>
      <c r="P77" s="54"/>
    </row>
    <row r="78" spans="1:17" ht="27.75" customHeight="1" x14ac:dyDescent="0.2">
      <c r="A78" s="1735"/>
      <c r="B78" s="1736"/>
      <c r="C78" s="1737"/>
      <c r="D78" s="1736"/>
      <c r="E78" s="1737"/>
      <c r="F78" s="1736"/>
      <c r="G78" s="1737"/>
      <c r="H78" s="1736"/>
      <c r="I78" s="1737"/>
      <c r="J78" s="1736"/>
      <c r="K78" s="1737"/>
      <c r="L78" s="1736"/>
      <c r="M78" s="1737"/>
      <c r="N78" s="1736"/>
      <c r="O78" s="54"/>
      <c r="P78" s="54"/>
    </row>
    <row r="79" spans="1:17" ht="27.75" customHeight="1" x14ac:dyDescent="0.2">
      <c r="A79" s="1735"/>
      <c r="B79" s="1736"/>
      <c r="C79" s="1737"/>
      <c r="D79" s="1736"/>
      <c r="E79" s="1737"/>
      <c r="F79" s="1736"/>
      <c r="G79" s="1737"/>
      <c r="H79" s="1736"/>
      <c r="I79" s="1737"/>
      <c r="J79" s="1736"/>
      <c r="K79" s="1737"/>
      <c r="L79" s="1736"/>
      <c r="M79" s="1737"/>
      <c r="N79" s="1736"/>
      <c r="O79" s="54"/>
      <c r="P79" s="54"/>
    </row>
    <row r="80" spans="1:17" ht="27.75" customHeight="1" x14ac:dyDescent="0.2">
      <c r="A80" s="1735"/>
      <c r="B80" s="1736"/>
      <c r="C80" s="1737"/>
      <c r="D80" s="1736"/>
      <c r="E80" s="1737"/>
      <c r="F80" s="1736"/>
      <c r="G80" s="1737"/>
      <c r="H80" s="1736"/>
      <c r="I80" s="1737"/>
      <c r="J80" s="1736"/>
      <c r="K80" s="1737"/>
      <c r="L80" s="1736"/>
      <c r="M80" s="1737"/>
      <c r="N80" s="1736"/>
      <c r="O80" s="54"/>
      <c r="P80" s="54"/>
    </row>
    <row r="81" spans="1:17" ht="27.75" customHeight="1" x14ac:dyDescent="0.2">
      <c r="A81" s="1735"/>
      <c r="B81" s="1736"/>
      <c r="C81" s="1737"/>
      <c r="D81" s="1736"/>
      <c r="E81" s="1737"/>
      <c r="F81" s="1736"/>
      <c r="G81" s="1737"/>
      <c r="H81" s="1736"/>
      <c r="I81" s="1737"/>
      <c r="J81" s="1736"/>
      <c r="K81" s="1737"/>
      <c r="L81" s="1736"/>
      <c r="M81" s="1737"/>
      <c r="N81" s="1736"/>
      <c r="O81" s="54"/>
      <c r="P81" s="54"/>
    </row>
    <row r="82" spans="1:17" ht="27.75" customHeight="1" x14ac:dyDescent="0.2">
      <c r="A82" s="1735"/>
      <c r="B82" s="1736"/>
      <c r="C82" s="1737"/>
      <c r="D82" s="1736"/>
      <c r="E82" s="1737"/>
      <c r="F82" s="1736"/>
      <c r="G82" s="1737"/>
      <c r="H82" s="1736"/>
      <c r="I82" s="1737"/>
      <c r="J82" s="1736"/>
      <c r="K82" s="1737"/>
      <c r="L82" s="1736"/>
      <c r="M82" s="1737"/>
      <c r="N82" s="1736"/>
      <c r="O82" s="54"/>
      <c r="P82" s="54"/>
    </row>
    <row r="83" spans="1:17" ht="27.75" customHeight="1" x14ac:dyDescent="0.2">
      <c r="A83" s="1735"/>
      <c r="B83" s="1736"/>
      <c r="C83" s="1737"/>
      <c r="D83" s="1736"/>
      <c r="E83" s="1737"/>
      <c r="F83" s="1736"/>
      <c r="G83" s="1737"/>
      <c r="H83" s="1736"/>
      <c r="I83" s="1737"/>
      <c r="J83" s="1736"/>
      <c r="K83" s="1737"/>
      <c r="L83" s="1736"/>
      <c r="M83" s="1737"/>
      <c r="N83" s="1736"/>
      <c r="O83" s="54"/>
      <c r="P83" s="54"/>
    </row>
    <row r="84" spans="1:17" ht="27.75" customHeight="1" x14ac:dyDescent="0.2">
      <c r="A84" s="1735"/>
      <c r="B84" s="1736"/>
      <c r="C84" s="1737"/>
      <c r="D84" s="1736"/>
      <c r="E84" s="1737"/>
      <c r="F84" s="1736"/>
      <c r="G84" s="1737"/>
      <c r="H84" s="1736"/>
      <c r="I84" s="1737"/>
      <c r="J84" s="1736"/>
      <c r="K84" s="1737"/>
      <c r="L84" s="1736"/>
      <c r="M84" s="1737"/>
      <c r="N84" s="1736"/>
      <c r="O84" s="54"/>
      <c r="P84" s="54"/>
    </row>
    <row r="85" spans="1:17" x14ac:dyDescent="0.2">
      <c r="A85" s="55"/>
      <c r="B85" s="54"/>
      <c r="C85" s="56"/>
      <c r="D85" s="54"/>
      <c r="E85" s="56"/>
      <c r="F85" s="54"/>
      <c r="G85" s="56"/>
      <c r="H85" s="54"/>
      <c r="I85" s="56"/>
      <c r="J85" s="54"/>
      <c r="K85" s="56"/>
      <c r="L85" s="54"/>
      <c r="M85" s="56"/>
      <c r="N85" s="54"/>
      <c r="O85" s="54"/>
      <c r="P85" s="54"/>
    </row>
    <row r="86" spans="1:17" x14ac:dyDescent="0.2">
      <c r="A86" s="55"/>
      <c r="B86" s="54"/>
      <c r="C86" s="54"/>
      <c r="D86" s="54"/>
      <c r="E86" s="54"/>
      <c r="F86" s="54"/>
      <c r="G86" s="54"/>
      <c r="H86" s="54"/>
      <c r="I86" s="54"/>
      <c r="J86" s="54"/>
      <c r="K86" s="54"/>
      <c r="L86" s="54"/>
      <c r="M86" s="54"/>
      <c r="N86" s="54"/>
      <c r="O86" s="54"/>
      <c r="P86" s="54"/>
    </row>
    <row r="87" spans="1:17" x14ac:dyDescent="0.2">
      <c r="A87" s="55"/>
      <c r="B87" s="54"/>
      <c r="C87" s="56"/>
      <c r="D87" s="54"/>
      <c r="E87" s="56"/>
      <c r="F87" s="54"/>
      <c r="G87" s="56"/>
      <c r="H87" s="54"/>
      <c r="I87" s="56"/>
      <c r="J87" s="54"/>
      <c r="K87" s="56"/>
      <c r="L87" s="54"/>
      <c r="M87" s="56"/>
      <c r="N87" s="54"/>
      <c r="O87" s="54"/>
      <c r="P87" s="54"/>
    </row>
    <row r="88" spans="1:17" x14ac:dyDescent="0.2">
      <c r="A88" s="55"/>
      <c r="B88" s="54"/>
      <c r="C88" s="54"/>
      <c r="D88" s="54"/>
      <c r="E88" s="54"/>
      <c r="F88" s="54"/>
      <c r="G88" s="54"/>
      <c r="H88" s="54"/>
      <c r="I88" s="54"/>
      <c r="J88" s="54"/>
      <c r="K88" s="54"/>
      <c r="L88" s="54"/>
      <c r="M88" s="54"/>
      <c r="N88" s="54"/>
      <c r="O88" s="54"/>
      <c r="P88" s="54"/>
    </row>
    <row r="89" spans="1:17" x14ac:dyDescent="0.2">
      <c r="A89" s="55"/>
      <c r="B89" s="54"/>
      <c r="C89" s="56"/>
      <c r="D89" s="54"/>
      <c r="E89" s="56"/>
      <c r="F89" s="54"/>
      <c r="G89" s="56"/>
      <c r="H89" s="54"/>
      <c r="I89" s="56"/>
      <c r="J89" s="54"/>
      <c r="K89" s="56"/>
      <c r="L89" s="54"/>
      <c r="M89" s="56"/>
      <c r="N89" s="54"/>
      <c r="O89" s="54"/>
      <c r="P89" s="54"/>
    </row>
    <row r="90" spans="1:17" x14ac:dyDescent="0.2">
      <c r="A90" s="55"/>
      <c r="B90" s="54"/>
      <c r="C90" s="54"/>
      <c r="D90" s="54"/>
      <c r="E90" s="54"/>
      <c r="F90" s="54"/>
      <c r="G90" s="54"/>
      <c r="H90" s="54"/>
      <c r="I90" s="54"/>
      <c r="J90" s="54"/>
      <c r="K90" s="54"/>
      <c r="L90" s="54"/>
      <c r="M90" s="54"/>
      <c r="N90" s="54"/>
      <c r="O90" s="54"/>
      <c r="P90" s="54"/>
    </row>
    <row r="91" spans="1:17" x14ac:dyDescent="0.2">
      <c r="A91" s="55"/>
      <c r="B91" s="54"/>
      <c r="C91" s="54"/>
      <c r="D91" s="54"/>
      <c r="E91" s="54"/>
      <c r="F91" s="54"/>
      <c r="G91" s="54"/>
      <c r="H91" s="54"/>
      <c r="I91" s="54"/>
      <c r="J91" s="54"/>
      <c r="K91" s="54"/>
      <c r="L91" s="54"/>
      <c r="M91" s="54"/>
      <c r="N91" s="54"/>
      <c r="O91" s="54"/>
      <c r="P91" s="54"/>
    </row>
    <row r="92" spans="1:17" x14ac:dyDescent="0.2">
      <c r="A92" s="55"/>
      <c r="B92" s="54"/>
      <c r="C92" s="54"/>
      <c r="D92" s="54"/>
      <c r="E92" s="54"/>
      <c r="F92" s="54"/>
      <c r="G92" s="54"/>
      <c r="H92" s="54"/>
      <c r="I92" s="54"/>
      <c r="J92" s="54"/>
      <c r="K92" s="54"/>
      <c r="L92" s="54"/>
      <c r="M92" s="54"/>
      <c r="N92" s="54"/>
      <c r="O92" s="54"/>
      <c r="P92" s="54"/>
      <c r="Q92" s="57"/>
    </row>
    <row r="93" spans="1:17" x14ac:dyDescent="0.2">
      <c r="B93" s="25"/>
      <c r="C93" s="25"/>
      <c r="D93" s="25"/>
      <c r="E93" s="58"/>
      <c r="F93" s="58"/>
      <c r="G93" s="58"/>
      <c r="H93" s="58"/>
    </row>
    <row r="94" spans="1:17" x14ac:dyDescent="0.2">
      <c r="B94" s="25"/>
      <c r="C94" s="25"/>
      <c r="D94" s="25"/>
      <c r="E94" s="58"/>
      <c r="F94" s="58"/>
      <c r="G94" s="58"/>
      <c r="H94" s="58"/>
    </row>
    <row r="95" spans="1:17" x14ac:dyDescent="0.2">
      <c r="B95" s="25"/>
      <c r="C95" s="25"/>
      <c r="D95" s="25"/>
      <c r="E95" s="58"/>
      <c r="F95" s="58"/>
      <c r="G95" s="58"/>
      <c r="H95" s="58"/>
    </row>
    <row r="96" spans="1:17" x14ac:dyDescent="0.2">
      <c r="B96" s="25"/>
      <c r="C96" s="25"/>
      <c r="D96" s="25"/>
      <c r="E96" s="58"/>
      <c r="F96" s="58"/>
      <c r="G96" s="58"/>
      <c r="H96" s="58"/>
    </row>
    <row r="97" spans="2:8" x14ac:dyDescent="0.2">
      <c r="B97" s="25"/>
      <c r="C97" s="25"/>
      <c r="D97" s="25"/>
      <c r="E97" s="58"/>
      <c r="F97" s="58"/>
      <c r="G97" s="58"/>
      <c r="H97" s="58"/>
    </row>
    <row r="98" spans="2:8" x14ac:dyDescent="0.2">
      <c r="B98" s="25"/>
      <c r="C98" s="25"/>
      <c r="D98" s="25"/>
      <c r="E98" s="58"/>
      <c r="F98" s="58"/>
      <c r="G98" s="58"/>
      <c r="H98" s="58"/>
    </row>
    <row r="99" spans="2:8" x14ac:dyDescent="0.2">
      <c r="B99" s="25"/>
      <c r="C99" s="25"/>
      <c r="D99" s="25"/>
      <c r="E99" s="58"/>
      <c r="F99" s="58"/>
      <c r="G99" s="58"/>
      <c r="H99" s="58"/>
    </row>
    <row r="100" spans="2:8" x14ac:dyDescent="0.2">
      <c r="B100" s="25"/>
      <c r="C100" s="25"/>
      <c r="D100" s="25"/>
      <c r="E100" s="58"/>
      <c r="F100" s="58"/>
      <c r="G100" s="58"/>
      <c r="H100" s="58"/>
    </row>
    <row r="101" spans="2:8" x14ac:dyDescent="0.2">
      <c r="B101" s="25"/>
      <c r="C101" s="25"/>
      <c r="D101" s="25"/>
      <c r="E101" s="58"/>
      <c r="F101" s="58"/>
      <c r="G101" s="58"/>
      <c r="H101" s="58"/>
    </row>
    <row r="102" spans="2:8" x14ac:dyDescent="0.2">
      <c r="B102" s="25"/>
      <c r="C102" s="25"/>
      <c r="D102" s="25"/>
      <c r="E102" s="58"/>
      <c r="F102" s="58"/>
      <c r="G102" s="58"/>
      <c r="H102" s="58"/>
    </row>
    <row r="103" spans="2:8" x14ac:dyDescent="0.2">
      <c r="B103" s="25"/>
      <c r="C103" s="25"/>
      <c r="D103" s="25"/>
      <c r="E103" s="58"/>
      <c r="F103" s="58"/>
      <c r="G103" s="58"/>
      <c r="H103" s="58"/>
    </row>
    <row r="104" spans="2:8" x14ac:dyDescent="0.2">
      <c r="B104" s="25"/>
      <c r="C104" s="25"/>
      <c r="D104" s="25"/>
      <c r="E104" s="58"/>
      <c r="F104" s="58"/>
      <c r="G104" s="58"/>
      <c r="H104" s="58"/>
    </row>
    <row r="105" spans="2:8" x14ac:dyDescent="0.2">
      <c r="B105" s="25"/>
      <c r="C105" s="25"/>
      <c r="D105" s="25"/>
      <c r="E105" s="58"/>
      <c r="F105" s="58"/>
      <c r="G105" s="58"/>
      <c r="H105" s="58"/>
    </row>
    <row r="106" spans="2:8" x14ac:dyDescent="0.2">
      <c r="B106" s="25"/>
      <c r="C106" s="25"/>
      <c r="D106" s="25"/>
      <c r="E106" s="58"/>
      <c r="F106" s="58"/>
      <c r="G106" s="58"/>
      <c r="H106" s="58"/>
    </row>
    <row r="107" spans="2:8" x14ac:dyDescent="0.2">
      <c r="B107" s="25"/>
      <c r="C107" s="25"/>
      <c r="D107" s="25"/>
      <c r="E107" s="58"/>
      <c r="F107" s="58"/>
      <c r="G107" s="58"/>
      <c r="H107" s="58"/>
    </row>
    <row r="108" spans="2:8" x14ac:dyDescent="0.2">
      <c r="B108" s="25"/>
      <c r="C108" s="25"/>
      <c r="D108" s="25"/>
      <c r="E108" s="58"/>
      <c r="F108" s="58"/>
      <c r="G108" s="58"/>
      <c r="H108" s="58"/>
    </row>
    <row r="109" spans="2:8" x14ac:dyDescent="0.2">
      <c r="B109" s="25"/>
      <c r="C109" s="25"/>
      <c r="D109" s="25"/>
      <c r="E109" s="58"/>
      <c r="F109" s="58"/>
      <c r="G109" s="58"/>
      <c r="H109" s="58"/>
    </row>
    <row r="110" spans="2:8" x14ac:dyDescent="0.2">
      <c r="B110" s="25"/>
      <c r="C110" s="25"/>
      <c r="D110" s="25"/>
      <c r="E110" s="58"/>
      <c r="F110" s="58"/>
      <c r="G110" s="58"/>
      <c r="H110" s="58"/>
    </row>
    <row r="111" spans="2:8" x14ac:dyDescent="0.2">
      <c r="B111" s="25"/>
      <c r="C111" s="25"/>
      <c r="D111" s="25"/>
      <c r="E111" s="58"/>
      <c r="F111" s="58"/>
      <c r="G111" s="58"/>
      <c r="H111" s="58"/>
    </row>
    <row r="112" spans="2:8" x14ac:dyDescent="0.2">
      <c r="B112" s="25"/>
      <c r="C112" s="25"/>
      <c r="D112" s="25"/>
      <c r="E112" s="58"/>
      <c r="F112" s="58"/>
      <c r="G112" s="58"/>
      <c r="H112" s="58"/>
    </row>
    <row r="113" spans="2:8" x14ac:dyDescent="0.2">
      <c r="B113" s="25"/>
      <c r="C113" s="25"/>
      <c r="D113" s="25"/>
      <c r="E113" s="58"/>
      <c r="F113" s="58"/>
      <c r="G113" s="58"/>
      <c r="H113" s="58"/>
    </row>
    <row r="114" spans="2:8" x14ac:dyDescent="0.2">
      <c r="B114" s="25"/>
      <c r="C114" s="25"/>
      <c r="D114" s="25"/>
      <c r="E114" s="58"/>
      <c r="F114" s="58"/>
      <c r="G114" s="58"/>
      <c r="H114" s="58"/>
    </row>
    <row r="115" spans="2:8" x14ac:dyDescent="0.2">
      <c r="B115" s="25"/>
      <c r="C115" s="25"/>
      <c r="D115" s="25"/>
      <c r="E115" s="58"/>
      <c r="F115" s="58"/>
      <c r="G115" s="58"/>
      <c r="H115" s="58"/>
    </row>
    <row r="116" spans="2:8" x14ac:dyDescent="0.2">
      <c r="B116" s="25"/>
      <c r="C116" s="25"/>
      <c r="D116" s="25"/>
      <c r="E116" s="58"/>
      <c r="F116" s="58"/>
      <c r="G116" s="58"/>
      <c r="H116" s="58"/>
    </row>
    <row r="117" spans="2:8" x14ac:dyDescent="0.2">
      <c r="B117" s="25"/>
      <c r="C117" s="25"/>
      <c r="D117" s="25"/>
      <c r="E117" s="58"/>
      <c r="F117" s="58"/>
      <c r="G117" s="58"/>
      <c r="H117" s="58"/>
    </row>
    <row r="118" spans="2:8" x14ac:dyDescent="0.2">
      <c r="B118" s="25"/>
      <c r="C118" s="25"/>
      <c r="D118" s="25"/>
      <c r="E118" s="58"/>
      <c r="F118" s="58"/>
      <c r="G118" s="58"/>
      <c r="H118" s="58"/>
    </row>
    <row r="119" spans="2:8" x14ac:dyDescent="0.2">
      <c r="B119" s="25"/>
      <c r="C119" s="25"/>
      <c r="D119" s="25"/>
      <c r="E119" s="58"/>
      <c r="F119" s="58"/>
      <c r="G119" s="58"/>
      <c r="H119" s="58"/>
    </row>
    <row r="120" spans="2:8" x14ac:dyDescent="0.2">
      <c r="B120" s="25"/>
      <c r="C120" s="25"/>
      <c r="D120" s="25"/>
      <c r="E120" s="58"/>
      <c r="F120" s="58"/>
      <c r="G120" s="58"/>
      <c r="H120" s="58"/>
    </row>
    <row r="121" spans="2:8" x14ac:dyDescent="0.2">
      <c r="B121" s="25"/>
      <c r="C121" s="25"/>
      <c r="D121" s="25"/>
      <c r="E121" s="58"/>
      <c r="F121" s="58"/>
      <c r="G121" s="58"/>
      <c r="H121" s="58"/>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row r="137" spans="2:2" x14ac:dyDescent="0.2">
      <c r="B137" s="25"/>
    </row>
    <row r="138" spans="2:2" x14ac:dyDescent="0.2">
      <c r="B138" s="25"/>
    </row>
  </sheetData>
  <mergeCells count="11">
    <mergeCell ref="A81:N81"/>
    <mergeCell ref="A82:N82"/>
    <mergeCell ref="A83:N83"/>
    <mergeCell ref="A84:N84"/>
    <mergeCell ref="K2:K3"/>
    <mergeCell ref="A75:N75"/>
    <mergeCell ref="A76:N76"/>
    <mergeCell ref="A77:N77"/>
    <mergeCell ref="A78:N78"/>
    <mergeCell ref="A79:N79"/>
    <mergeCell ref="A80:N80"/>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rintOptions horizontalCentered="1"/>
  <pageMargins left="0.25" right="0.25" top="1" bottom="1" header="0.5" footer="0.5"/>
  <pageSetup scale="87" fitToHeight="99" pageOrder="overThenDown" orientation="portrait" blackAndWhite="1"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
    <pageSetUpPr fitToPage="1"/>
  </sheetPr>
  <dimension ref="A1:Q10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1.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2.85546875" style="60" customWidth="1"/>
    <col min="13" max="13" width="13.7109375" style="59" hidden="1" customWidth="1"/>
    <col min="14" max="14" width="2.8554687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478</v>
      </c>
      <c r="C4" s="10" t="s">
        <v>6</v>
      </c>
      <c r="D4" s="6"/>
      <c r="E4" s="11"/>
      <c r="F4" s="9"/>
      <c r="G4" s="11"/>
      <c r="H4" s="6"/>
      <c r="I4" s="11"/>
      <c r="J4" s="6"/>
      <c r="K4" s="11"/>
      <c r="L4" s="6"/>
      <c r="M4" s="11"/>
      <c r="N4" s="6"/>
    </row>
    <row r="5" spans="1:16" s="4" customFormat="1" ht="15.75" x14ac:dyDescent="0.2">
      <c r="A5" s="1" t="s">
        <v>183</v>
      </c>
      <c r="B5" s="12" t="s">
        <v>211</v>
      </c>
      <c r="C5" s="12" t="s">
        <v>211</v>
      </c>
      <c r="D5" s="13"/>
      <c r="E5" s="14"/>
      <c r="G5" s="14"/>
      <c r="I5" s="14"/>
      <c r="K5" s="600"/>
      <c r="L5" s="6"/>
      <c r="M5" s="600"/>
      <c r="N5" s="6"/>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2" t="str">
        <f>"FY " &amp; FiscalYear - 1</f>
        <v>FY 2018</v>
      </c>
      <c r="J9" s="33" t="s">
        <v>193</v>
      </c>
      <c r="K9" s="34" t="str">
        <f>"FY " &amp; FiscalYear</f>
        <v>FY 2019</v>
      </c>
      <c r="L9" s="33" t="s">
        <v>193</v>
      </c>
      <c r="M9" s="34" t="str">
        <f>"FY " &amp; FiscalYear + 1</f>
        <v>FY 2020</v>
      </c>
      <c r="N9" s="33" t="s">
        <v>193</v>
      </c>
    </row>
    <row r="10" spans="1:16" s="24" customFormat="1" x14ac:dyDescent="0.2">
      <c r="A10" s="35" t="s">
        <v>222</v>
      </c>
      <c r="B10" s="31"/>
      <c r="M10" s="1381"/>
      <c r="N10" s="727"/>
    </row>
    <row r="11" spans="1:16" s="24" customFormat="1" x14ac:dyDescent="0.2">
      <c r="A11" s="35" t="s">
        <v>2762</v>
      </c>
      <c r="B11" s="31"/>
      <c r="M11" s="1381"/>
      <c r="N11" s="727"/>
    </row>
    <row r="12" spans="1:16" s="24" customFormat="1" x14ac:dyDescent="0.2">
      <c r="A12" s="144" t="s">
        <v>2763</v>
      </c>
      <c r="B12" s="31"/>
      <c r="M12" s="1381"/>
      <c r="N12" s="727"/>
    </row>
    <row r="13" spans="1:16" s="24" customFormat="1" x14ac:dyDescent="0.2">
      <c r="A13" s="150" t="s">
        <v>2764</v>
      </c>
      <c r="B13" s="31"/>
      <c r="C13" s="1452">
        <v>57</v>
      </c>
      <c r="E13" s="1452">
        <v>64</v>
      </c>
      <c r="G13" s="1453">
        <v>65</v>
      </c>
      <c r="I13" s="1452">
        <v>66</v>
      </c>
      <c r="K13" s="1452">
        <v>67</v>
      </c>
      <c r="M13" s="1454"/>
      <c r="N13" s="727"/>
    </row>
    <row r="14" spans="1:16" s="24" customFormat="1" x14ac:dyDescent="0.2">
      <c r="A14" s="150" t="s">
        <v>2765</v>
      </c>
      <c r="B14" s="31"/>
      <c r="C14" s="1455">
        <v>120000</v>
      </c>
      <c r="E14" s="1455">
        <v>109700</v>
      </c>
      <c r="G14" s="1456">
        <v>75000</v>
      </c>
      <c r="I14" s="1455">
        <v>79972.899999999994</v>
      </c>
      <c r="J14" s="1455"/>
      <c r="K14" s="1455">
        <v>80000</v>
      </c>
      <c r="M14" s="1457"/>
      <c r="N14" s="727"/>
    </row>
    <row r="15" spans="1:16" s="24" customFormat="1" x14ac:dyDescent="0.2">
      <c r="A15" s="150" t="s">
        <v>2766</v>
      </c>
      <c r="B15" s="31"/>
      <c r="C15" s="1458">
        <v>0.61</v>
      </c>
      <c r="E15" s="1458">
        <v>0.61</v>
      </c>
      <c r="G15" s="1459">
        <v>0.61</v>
      </c>
      <c r="I15" s="1458">
        <v>0.57999999999999996</v>
      </c>
      <c r="K15" s="1458">
        <v>0.59</v>
      </c>
      <c r="M15" s="1460"/>
      <c r="N15" s="727"/>
    </row>
    <row r="16" spans="1:16" s="24" customFormat="1" x14ac:dyDescent="0.2">
      <c r="A16" s="150" t="s">
        <v>2767</v>
      </c>
      <c r="B16" s="31"/>
      <c r="C16" s="1458">
        <v>0.85</v>
      </c>
      <c r="E16" s="1458">
        <v>0.86</v>
      </c>
      <c r="G16" s="1459">
        <v>0.86</v>
      </c>
      <c r="I16" s="1458">
        <v>0.86</v>
      </c>
      <c r="K16" s="1458">
        <v>0.86</v>
      </c>
      <c r="M16" s="1460"/>
      <c r="N16" s="727"/>
    </row>
    <row r="17" spans="1:14" s="24" customFormat="1" x14ac:dyDescent="0.2">
      <c r="A17" s="150" t="s">
        <v>2768</v>
      </c>
      <c r="B17" s="31"/>
      <c r="C17" s="1458">
        <v>0.56999999999999995</v>
      </c>
      <c r="E17" s="1458">
        <v>0.65</v>
      </c>
      <c r="G17" s="1459">
        <v>0.67</v>
      </c>
      <c r="I17" s="1458">
        <v>0.65</v>
      </c>
      <c r="K17" s="1458">
        <v>0.66</v>
      </c>
      <c r="M17" s="1460"/>
      <c r="N17" s="727"/>
    </row>
    <row r="18" spans="1:14" s="24" customFormat="1" x14ac:dyDescent="0.2">
      <c r="A18" s="150" t="s">
        <v>2769</v>
      </c>
      <c r="B18" s="31"/>
      <c r="C18" s="1458">
        <v>1</v>
      </c>
      <c r="E18" s="1458">
        <v>1</v>
      </c>
      <c r="G18" s="1459">
        <v>1</v>
      </c>
      <c r="I18" s="1458">
        <v>1</v>
      </c>
      <c r="K18" s="1458">
        <v>1</v>
      </c>
      <c r="M18" s="1460"/>
      <c r="N18" s="727"/>
    </row>
    <row r="19" spans="1:14" s="24" customFormat="1" x14ac:dyDescent="0.2">
      <c r="A19" s="150" t="s">
        <v>2770</v>
      </c>
      <c r="B19" s="31"/>
      <c r="C19" s="1458">
        <v>0.5</v>
      </c>
      <c r="E19" s="1458">
        <v>0.63</v>
      </c>
      <c r="G19" s="1459">
        <v>0.67</v>
      </c>
      <c r="I19" s="1458">
        <v>0.66</v>
      </c>
      <c r="K19" s="1458">
        <v>0.7</v>
      </c>
      <c r="M19" s="1460"/>
      <c r="N19" s="727"/>
    </row>
    <row r="20" spans="1:14" s="24" customFormat="1" x14ac:dyDescent="0.2">
      <c r="A20" s="150" t="s">
        <v>2771</v>
      </c>
      <c r="B20" s="31"/>
      <c r="C20" s="1458">
        <v>0.45</v>
      </c>
      <c r="E20" s="1458">
        <v>0.46</v>
      </c>
      <c r="G20" s="1459">
        <v>0.5</v>
      </c>
      <c r="I20" s="1458">
        <v>0.48</v>
      </c>
      <c r="K20" s="1458">
        <v>0.52</v>
      </c>
      <c r="M20" s="1460"/>
      <c r="N20" s="727"/>
    </row>
    <row r="21" spans="1:14" s="24" customFormat="1" x14ac:dyDescent="0.2">
      <c r="A21" s="150" t="s">
        <v>2772</v>
      </c>
      <c r="B21" s="31"/>
      <c r="C21" s="1458">
        <v>0.5</v>
      </c>
      <c r="E21" s="1458">
        <v>0.6</v>
      </c>
      <c r="G21" s="1459">
        <v>0.64</v>
      </c>
      <c r="I21" s="1458">
        <v>0.6</v>
      </c>
      <c r="K21" s="1458">
        <v>0.64</v>
      </c>
      <c r="M21" s="1460"/>
      <c r="N21" s="727"/>
    </row>
    <row r="22" spans="1:14" s="24" customFormat="1" x14ac:dyDescent="0.2">
      <c r="A22" s="150" t="s">
        <v>2773</v>
      </c>
      <c r="B22" s="31"/>
      <c r="C22" s="1458">
        <v>0.41</v>
      </c>
      <c r="E22" s="1458">
        <v>0.41</v>
      </c>
      <c r="G22" s="1459">
        <v>0.47</v>
      </c>
      <c r="I22" s="1458">
        <v>0.54</v>
      </c>
      <c r="K22" s="1458">
        <v>0.6</v>
      </c>
      <c r="M22" s="1460"/>
      <c r="N22" s="727"/>
    </row>
    <row r="23" spans="1:14" s="24" customFormat="1" x14ac:dyDescent="0.2">
      <c r="A23" s="150" t="s">
        <v>2774</v>
      </c>
      <c r="B23" s="31"/>
      <c r="C23" s="1458">
        <v>0.34</v>
      </c>
      <c r="E23" s="1458">
        <v>0.34</v>
      </c>
      <c r="G23" s="1459">
        <v>0.34</v>
      </c>
      <c r="I23" s="1458">
        <v>0.34</v>
      </c>
      <c r="K23" s="1458">
        <v>0.4</v>
      </c>
      <c r="M23" s="1460"/>
      <c r="N23" s="727"/>
    </row>
    <row r="24" spans="1:14" s="24" customFormat="1" x14ac:dyDescent="0.2">
      <c r="A24" s="150" t="s">
        <v>2775</v>
      </c>
      <c r="B24" s="31"/>
      <c r="C24" s="1458">
        <v>0.8</v>
      </c>
      <c r="E24" s="1458">
        <v>0.8</v>
      </c>
      <c r="G24" s="1459">
        <v>0.8</v>
      </c>
      <c r="I24" s="1458">
        <v>0.8</v>
      </c>
      <c r="K24" s="1458">
        <v>0.8</v>
      </c>
      <c r="M24" s="1460"/>
      <c r="N24" s="727"/>
    </row>
    <row r="25" spans="1:14" s="24" customFormat="1" x14ac:dyDescent="0.2">
      <c r="A25" s="150" t="s">
        <v>2776</v>
      </c>
      <c r="B25" s="31"/>
      <c r="C25" s="1458">
        <v>0.71</v>
      </c>
      <c r="E25" s="1458">
        <v>0.71</v>
      </c>
      <c r="G25" s="1459">
        <v>1</v>
      </c>
      <c r="I25" s="1458">
        <v>0.71</v>
      </c>
      <c r="K25" s="1458">
        <v>0.8571428571428571</v>
      </c>
      <c r="M25" s="1460"/>
      <c r="N25" s="727"/>
    </row>
    <row r="26" spans="1:14" s="24" customFormat="1" x14ac:dyDescent="0.2">
      <c r="A26" s="150" t="s">
        <v>2777</v>
      </c>
      <c r="B26" s="31"/>
      <c r="C26" s="1458">
        <v>0.71</v>
      </c>
      <c r="E26" s="1458">
        <v>0.71</v>
      </c>
      <c r="G26" s="1459">
        <v>1</v>
      </c>
      <c r="I26" s="1458">
        <v>0.71</v>
      </c>
      <c r="K26" s="1458">
        <v>0.86</v>
      </c>
      <c r="M26" s="1460"/>
      <c r="N26" s="727"/>
    </row>
    <row r="27" spans="1:14" s="24" customFormat="1" x14ac:dyDescent="0.2">
      <c r="A27" s="35" t="s">
        <v>2778</v>
      </c>
      <c r="B27" s="31"/>
      <c r="C27" s="1461"/>
      <c r="E27" s="1461"/>
      <c r="I27" s="1461"/>
      <c r="K27" s="1461"/>
      <c r="M27" s="1381"/>
      <c r="N27" s="727"/>
    </row>
    <row r="28" spans="1:14" s="24" customFormat="1" x14ac:dyDescent="0.2">
      <c r="A28" s="41" t="s">
        <v>2779</v>
      </c>
      <c r="B28" s="31"/>
      <c r="C28" s="1462"/>
      <c r="E28" s="1462"/>
      <c r="I28" s="1462"/>
      <c r="K28" s="1462"/>
      <c r="M28" s="1381"/>
      <c r="N28" s="727"/>
    </row>
    <row r="29" spans="1:14" s="24" customFormat="1" x14ac:dyDescent="0.2">
      <c r="A29" s="210" t="s">
        <v>2780</v>
      </c>
      <c r="B29" s="31"/>
      <c r="C29" s="1463">
        <v>442019</v>
      </c>
      <c r="E29" s="1463">
        <v>428041</v>
      </c>
      <c r="G29" s="308">
        <v>423300</v>
      </c>
      <c r="I29" s="1463">
        <v>415700</v>
      </c>
      <c r="K29" s="1463">
        <v>405200</v>
      </c>
      <c r="M29" s="1464"/>
      <c r="N29" s="727"/>
    </row>
    <row r="30" spans="1:14" s="24" customFormat="1" x14ac:dyDescent="0.2">
      <c r="A30" s="210" t="s">
        <v>2781</v>
      </c>
      <c r="B30" s="31"/>
      <c r="C30" s="1465">
        <v>514</v>
      </c>
      <c r="E30" s="1465">
        <v>516</v>
      </c>
      <c r="G30" s="1456">
        <v>511</v>
      </c>
      <c r="I30" s="1465">
        <v>267</v>
      </c>
      <c r="K30" s="1465">
        <v>266</v>
      </c>
      <c r="M30" s="1457"/>
      <c r="N30" s="727"/>
    </row>
    <row r="31" spans="1:14" s="24" customFormat="1" x14ac:dyDescent="0.2">
      <c r="A31" s="210" t="s">
        <v>2782</v>
      </c>
      <c r="B31" s="31"/>
      <c r="C31" s="1463">
        <v>256084</v>
      </c>
      <c r="E31" s="1463">
        <v>220846</v>
      </c>
      <c r="G31" s="308">
        <v>169500</v>
      </c>
      <c r="I31" s="1463">
        <v>194600</v>
      </c>
      <c r="K31" s="1463">
        <v>141000</v>
      </c>
      <c r="M31" s="1464"/>
      <c r="N31" s="727"/>
    </row>
    <row r="32" spans="1:14" s="24" customFormat="1" x14ac:dyDescent="0.2">
      <c r="A32" s="210" t="s">
        <v>2783</v>
      </c>
      <c r="B32" s="31"/>
      <c r="C32" s="1465">
        <v>398</v>
      </c>
      <c r="E32" s="1465">
        <v>403</v>
      </c>
      <c r="G32" s="1456">
        <v>397</v>
      </c>
      <c r="I32" s="1465">
        <v>202</v>
      </c>
      <c r="K32" s="1465">
        <v>202</v>
      </c>
      <c r="M32" s="1457"/>
      <c r="N32" s="727"/>
    </row>
    <row r="33" spans="1:16" s="1392" customFormat="1" x14ac:dyDescent="0.2">
      <c r="A33" s="41" t="s">
        <v>2784</v>
      </c>
      <c r="B33" s="1400"/>
      <c r="C33" s="1466"/>
      <c r="E33" s="1466"/>
      <c r="I33" s="1466"/>
      <c r="K33" s="1466"/>
      <c r="M33" s="1393"/>
      <c r="N33" s="1394"/>
    </row>
    <row r="34" spans="1:16" s="1392" customFormat="1" x14ac:dyDescent="0.2">
      <c r="A34" s="210" t="s">
        <v>2785</v>
      </c>
      <c r="B34" s="1400"/>
      <c r="C34" s="1463">
        <v>27462</v>
      </c>
      <c r="E34" s="1463">
        <v>24539</v>
      </c>
      <c r="G34" s="1467">
        <v>25100</v>
      </c>
      <c r="I34" s="1463">
        <v>24600</v>
      </c>
      <c r="K34" s="1463">
        <v>23100</v>
      </c>
      <c r="M34" s="911"/>
      <c r="N34" s="1394"/>
    </row>
    <row r="35" spans="1:16" s="1392" customFormat="1" x14ac:dyDescent="0.2">
      <c r="A35" s="210" t="s">
        <v>2786</v>
      </c>
      <c r="B35" s="1400"/>
      <c r="C35" s="1465">
        <v>267</v>
      </c>
      <c r="E35" s="1465">
        <v>220</v>
      </c>
      <c r="G35" s="1468">
        <v>219</v>
      </c>
      <c r="I35" s="1465">
        <v>219</v>
      </c>
      <c r="K35" s="1465">
        <v>222</v>
      </c>
      <c r="M35" s="1469"/>
      <c r="N35" s="1394"/>
    </row>
    <row r="36" spans="1:16" s="1392" customFormat="1" x14ac:dyDescent="0.2">
      <c r="A36" s="210" t="s">
        <v>2787</v>
      </c>
      <c r="B36" s="1400"/>
      <c r="C36" s="1463">
        <v>143201</v>
      </c>
      <c r="E36" s="1463">
        <v>144043</v>
      </c>
      <c r="G36" s="1467">
        <v>138200</v>
      </c>
      <c r="I36" s="1463">
        <v>143600</v>
      </c>
      <c r="K36" s="1463">
        <v>141000</v>
      </c>
      <c r="M36" s="911"/>
      <c r="N36" s="1394"/>
    </row>
    <row r="37" spans="1:16" s="1392" customFormat="1" x14ac:dyDescent="0.2">
      <c r="A37" s="210" t="s">
        <v>2788</v>
      </c>
      <c r="B37" s="1400"/>
      <c r="C37" s="1465">
        <v>1381</v>
      </c>
      <c r="E37" s="1465">
        <v>1385</v>
      </c>
      <c r="G37" s="1468">
        <v>1401</v>
      </c>
      <c r="I37" s="1465">
        <v>1396</v>
      </c>
      <c r="K37" s="1465">
        <v>1408</v>
      </c>
      <c r="M37" s="1469"/>
      <c r="N37" s="1394"/>
    </row>
    <row r="38" spans="1:16" s="1392" customFormat="1" x14ac:dyDescent="0.2">
      <c r="A38" s="35" t="s">
        <v>2789</v>
      </c>
      <c r="B38" s="1400"/>
      <c r="C38" s="1466"/>
      <c r="E38" s="1466"/>
      <c r="I38" s="1466"/>
      <c r="K38" s="1466"/>
      <c r="M38" s="1393"/>
      <c r="N38" s="1394"/>
    </row>
    <row r="39" spans="1:16" s="1392" customFormat="1" x14ac:dyDescent="0.2">
      <c r="A39" s="41" t="s">
        <v>2790</v>
      </c>
      <c r="B39" s="1400"/>
      <c r="C39" s="1466"/>
      <c r="E39" s="1466"/>
      <c r="I39" s="1466"/>
      <c r="K39" s="1466"/>
      <c r="M39" s="1393"/>
      <c r="N39" s="1394"/>
    </row>
    <row r="40" spans="1:16" s="1392" customFormat="1" x14ac:dyDescent="0.2">
      <c r="A40" s="90" t="s">
        <v>2791</v>
      </c>
      <c r="B40" s="1400"/>
      <c r="C40" s="1470">
        <v>45620</v>
      </c>
      <c r="E40" s="1470">
        <v>43973</v>
      </c>
      <c r="G40" s="1471">
        <v>38700</v>
      </c>
      <c r="I40" s="1470">
        <v>40092</v>
      </c>
      <c r="J40" s="1383"/>
      <c r="K40" s="1470">
        <v>35000</v>
      </c>
      <c r="M40" s="1470"/>
      <c r="N40" s="1461"/>
    </row>
    <row r="41" spans="1:16" s="1392" customFormat="1" x14ac:dyDescent="0.2">
      <c r="A41" s="41" t="s">
        <v>2792</v>
      </c>
      <c r="B41" s="1400"/>
      <c r="C41" s="1462"/>
      <c r="E41" s="1462"/>
      <c r="I41" s="1462"/>
      <c r="J41" s="1383"/>
      <c r="K41" s="1462"/>
      <c r="M41" s="1461"/>
      <c r="N41" s="1461"/>
    </row>
    <row r="42" spans="1:16" s="1392" customFormat="1" x14ac:dyDescent="0.2">
      <c r="A42" s="90" t="s">
        <v>2791</v>
      </c>
      <c r="B42" s="1400"/>
      <c r="C42" s="1472">
        <v>206450</v>
      </c>
      <c r="E42" s="1472">
        <v>194854</v>
      </c>
      <c r="G42" s="1471">
        <v>189800</v>
      </c>
      <c r="I42" s="1472">
        <v>183645</v>
      </c>
      <c r="J42" s="1383"/>
      <c r="K42" s="1472">
        <v>178900</v>
      </c>
      <c r="M42" s="1473"/>
      <c r="N42" s="1394"/>
    </row>
    <row r="43" spans="1:16" s="280" customFormat="1" x14ac:dyDescent="0.2">
      <c r="A43" s="38"/>
      <c r="B43" s="68"/>
      <c r="M43" s="1401"/>
      <c r="N43" s="278"/>
    </row>
    <row r="44" spans="1:16" s="280" customFormat="1" x14ac:dyDescent="0.2">
      <c r="A44" s="38"/>
      <c r="B44" s="68"/>
      <c r="M44" s="1401"/>
      <c r="N44" s="278"/>
    </row>
    <row r="45" spans="1:16" s="280" customFormat="1" x14ac:dyDescent="0.2">
      <c r="A45" s="41"/>
      <c r="B45" s="68"/>
      <c r="M45" s="1401"/>
      <c r="N45" s="278"/>
    </row>
    <row r="46" spans="1:16" s="48" customFormat="1" x14ac:dyDescent="0.2">
      <c r="A46" s="49" t="s">
        <v>200</v>
      </c>
      <c r="B46" s="50"/>
      <c r="C46" s="78"/>
      <c r="D46" s="1474"/>
      <c r="E46" s="78"/>
      <c r="F46" s="1474"/>
      <c r="G46" s="78"/>
      <c r="H46" s="1474"/>
      <c r="I46" s="78"/>
      <c r="J46" s="1474"/>
      <c r="K46" s="78"/>
      <c r="L46" s="1474"/>
      <c r="M46" s="78"/>
      <c r="N46" s="1474"/>
    </row>
    <row r="47" spans="1:16" x14ac:dyDescent="0.2">
      <c r="A47" s="1738" t="s">
        <v>2793</v>
      </c>
      <c r="B47" s="1736"/>
      <c r="C47" s="1737"/>
      <c r="D47" s="1736"/>
      <c r="E47" s="1737"/>
      <c r="F47" s="1736"/>
      <c r="G47" s="1737"/>
      <c r="H47" s="1736"/>
      <c r="I47" s="1737"/>
      <c r="J47" s="1736"/>
      <c r="K47" s="1737"/>
      <c r="L47" s="1736"/>
      <c r="M47" s="1737"/>
      <c r="N47" s="1736"/>
      <c r="O47" s="54"/>
      <c r="P47" s="54"/>
    </row>
    <row r="48" spans="1:16" x14ac:dyDescent="0.2">
      <c r="A48" s="1738" t="s">
        <v>2794</v>
      </c>
      <c r="B48" s="1736"/>
      <c r="C48" s="1737"/>
      <c r="D48" s="1736"/>
      <c r="E48" s="1737"/>
      <c r="F48" s="1736"/>
      <c r="G48" s="1737"/>
      <c r="H48" s="1736"/>
      <c r="I48" s="1737"/>
      <c r="J48" s="1736"/>
      <c r="K48" s="1737"/>
      <c r="L48" s="1736"/>
      <c r="M48" s="1737"/>
      <c r="N48" s="1736"/>
      <c r="O48" s="54"/>
      <c r="P48" s="54"/>
    </row>
    <row r="49" spans="1:17" ht="27.75" customHeight="1" x14ac:dyDescent="0.2">
      <c r="A49" s="1755" t="s">
        <v>2795</v>
      </c>
      <c r="B49" s="1736"/>
      <c r="C49" s="1737"/>
      <c r="D49" s="1736"/>
      <c r="E49" s="1737"/>
      <c r="F49" s="1736"/>
      <c r="G49" s="1737"/>
      <c r="H49" s="1736"/>
      <c r="I49" s="1737"/>
      <c r="J49" s="1736"/>
      <c r="K49" s="1737"/>
      <c r="L49" s="1736"/>
      <c r="M49" s="1737"/>
      <c r="N49" s="1736"/>
      <c r="O49" s="54"/>
      <c r="P49" s="54"/>
    </row>
    <row r="50" spans="1:17" ht="27.75" customHeight="1" x14ac:dyDescent="0.2">
      <c r="A50" s="1735"/>
      <c r="B50" s="1736"/>
      <c r="C50" s="1737"/>
      <c r="D50" s="1736"/>
      <c r="E50" s="1737"/>
      <c r="F50" s="1736"/>
      <c r="G50" s="1737"/>
      <c r="H50" s="1736"/>
      <c r="I50" s="1737"/>
      <c r="J50" s="1736"/>
      <c r="K50" s="1737"/>
      <c r="L50" s="1736"/>
      <c r="M50" s="1737"/>
      <c r="N50" s="1736"/>
      <c r="O50" s="54"/>
      <c r="P50" s="54"/>
    </row>
    <row r="51" spans="1:17" ht="27.75" customHeight="1" x14ac:dyDescent="0.2">
      <c r="A51" s="1735"/>
      <c r="B51" s="1736"/>
      <c r="C51" s="1737"/>
      <c r="D51" s="1736"/>
      <c r="E51" s="1737"/>
      <c r="F51" s="1736"/>
      <c r="G51" s="1737"/>
      <c r="H51" s="1736"/>
      <c r="I51" s="1737"/>
      <c r="J51" s="1736"/>
      <c r="K51" s="1737"/>
      <c r="L51" s="1736"/>
      <c r="M51" s="1737"/>
      <c r="N51" s="1736"/>
      <c r="O51" s="54"/>
      <c r="P51" s="54"/>
    </row>
    <row r="52" spans="1:17" ht="27.75" customHeight="1" x14ac:dyDescent="0.2">
      <c r="A52" s="1735"/>
      <c r="B52" s="1736"/>
      <c r="C52" s="1737"/>
      <c r="D52" s="1736"/>
      <c r="E52" s="1737"/>
      <c r="F52" s="1736"/>
      <c r="G52" s="1737"/>
      <c r="H52" s="1736"/>
      <c r="I52" s="1737"/>
      <c r="J52" s="1736"/>
      <c r="K52" s="1737"/>
      <c r="L52" s="1736"/>
      <c r="M52" s="1737"/>
      <c r="N52" s="1736"/>
      <c r="O52" s="54"/>
      <c r="P52" s="54"/>
    </row>
    <row r="53" spans="1:17" ht="27.75" customHeight="1" x14ac:dyDescent="0.2">
      <c r="A53" s="1735"/>
      <c r="B53" s="1736"/>
      <c r="C53" s="1737"/>
      <c r="D53" s="1736"/>
      <c r="E53" s="1737"/>
      <c r="F53" s="1736"/>
      <c r="G53" s="1737"/>
      <c r="H53" s="1736"/>
      <c r="I53" s="1737"/>
      <c r="J53" s="1736"/>
      <c r="K53" s="1737"/>
      <c r="L53" s="1736"/>
      <c r="M53" s="1737"/>
      <c r="N53" s="1736"/>
      <c r="O53" s="54"/>
      <c r="P53" s="54"/>
    </row>
    <row r="54" spans="1:17" x14ac:dyDescent="0.2">
      <c r="A54" s="55"/>
      <c r="B54" s="54"/>
      <c r="C54" s="56"/>
      <c r="D54" s="54"/>
      <c r="E54" s="56"/>
      <c r="F54" s="54"/>
      <c r="G54" s="56"/>
      <c r="H54" s="54"/>
      <c r="I54" s="56"/>
      <c r="J54" s="54"/>
      <c r="K54" s="56"/>
      <c r="L54" s="54"/>
      <c r="M54" s="56"/>
      <c r="N54" s="54"/>
      <c r="O54" s="54"/>
      <c r="P54" s="54"/>
    </row>
    <row r="55" spans="1:17" x14ac:dyDescent="0.2">
      <c r="A55" s="55"/>
      <c r="B55" s="54"/>
      <c r="C55" s="54"/>
      <c r="D55" s="54"/>
      <c r="E55" s="54"/>
      <c r="F55" s="54"/>
      <c r="G55" s="54"/>
      <c r="H55" s="54"/>
      <c r="I55" s="54"/>
      <c r="J55" s="54"/>
      <c r="K55" s="54"/>
      <c r="L55" s="54"/>
      <c r="M55" s="54"/>
      <c r="N55" s="54"/>
      <c r="O55" s="54"/>
      <c r="P55" s="54"/>
    </row>
    <row r="56" spans="1:17" x14ac:dyDescent="0.2">
      <c r="A56" s="55"/>
      <c r="B56" s="54"/>
      <c r="C56" s="56"/>
      <c r="D56" s="54"/>
      <c r="E56" s="56"/>
      <c r="F56" s="54"/>
      <c r="G56" s="56"/>
      <c r="H56" s="54"/>
      <c r="I56" s="56"/>
      <c r="J56" s="54"/>
      <c r="K56" s="56"/>
      <c r="L56" s="54"/>
      <c r="M56" s="56"/>
      <c r="N56" s="54"/>
      <c r="O56" s="54"/>
      <c r="P56" s="54"/>
    </row>
    <row r="57" spans="1:17" x14ac:dyDescent="0.2">
      <c r="A57" s="55"/>
      <c r="B57" s="54"/>
      <c r="C57" s="54"/>
      <c r="D57" s="54"/>
      <c r="E57" s="54"/>
      <c r="F57" s="54"/>
      <c r="G57" s="54"/>
      <c r="H57" s="54"/>
      <c r="I57" s="54"/>
      <c r="J57" s="54"/>
      <c r="K57" s="54"/>
      <c r="L57" s="54"/>
      <c r="M57" s="54"/>
      <c r="N57" s="54"/>
      <c r="O57" s="54"/>
      <c r="P57" s="54"/>
    </row>
    <row r="58" spans="1:17" x14ac:dyDescent="0.2">
      <c r="A58" s="55"/>
      <c r="B58" s="54"/>
      <c r="C58" s="56"/>
      <c r="D58" s="54"/>
      <c r="E58" s="56"/>
      <c r="F58" s="54"/>
      <c r="G58" s="56"/>
      <c r="H58" s="54"/>
      <c r="I58" s="56"/>
      <c r="J58" s="54"/>
      <c r="K58" s="56"/>
      <c r="L58" s="54"/>
      <c r="M58" s="56"/>
      <c r="N58" s="54"/>
      <c r="O58" s="54"/>
      <c r="P58" s="54"/>
    </row>
    <row r="59" spans="1:17" x14ac:dyDescent="0.2">
      <c r="A59" s="55"/>
      <c r="B59" s="54"/>
      <c r="C59" s="54"/>
      <c r="D59" s="54"/>
      <c r="E59" s="54"/>
      <c r="F59" s="54"/>
      <c r="G59" s="54"/>
      <c r="H59" s="54"/>
      <c r="I59" s="54"/>
      <c r="J59" s="54"/>
      <c r="K59" s="54"/>
      <c r="L59" s="54"/>
      <c r="M59" s="54"/>
      <c r="N59" s="54"/>
      <c r="O59" s="54"/>
      <c r="P59" s="54"/>
    </row>
    <row r="60" spans="1:17" x14ac:dyDescent="0.2">
      <c r="A60" s="55"/>
      <c r="B60" s="54"/>
      <c r="C60" s="54"/>
      <c r="D60" s="54"/>
      <c r="E60" s="54"/>
      <c r="F60" s="54"/>
      <c r="G60" s="54"/>
      <c r="H60" s="54"/>
      <c r="I60" s="54"/>
      <c r="J60" s="54"/>
      <c r="K60" s="54"/>
      <c r="L60" s="54"/>
      <c r="M60" s="54"/>
      <c r="N60" s="54"/>
      <c r="O60" s="54"/>
      <c r="P60" s="54"/>
    </row>
    <row r="61" spans="1:17" x14ac:dyDescent="0.2">
      <c r="A61" s="55"/>
      <c r="B61" s="54"/>
      <c r="C61" s="54"/>
      <c r="D61" s="54"/>
      <c r="E61" s="54"/>
      <c r="F61" s="54"/>
      <c r="G61" s="54"/>
      <c r="H61" s="54"/>
      <c r="I61" s="54"/>
      <c r="J61" s="54"/>
      <c r="K61" s="54"/>
      <c r="L61" s="54"/>
      <c r="M61" s="54"/>
      <c r="N61" s="54"/>
      <c r="O61" s="54"/>
      <c r="P61" s="54"/>
      <c r="Q61" s="57"/>
    </row>
    <row r="62" spans="1:17" x14ac:dyDescent="0.2">
      <c r="B62" s="25"/>
      <c r="C62" s="25"/>
      <c r="D62" s="25"/>
      <c r="E62" s="58"/>
      <c r="F62" s="58"/>
      <c r="G62" s="58"/>
      <c r="H62" s="58"/>
    </row>
    <row r="63" spans="1:17" x14ac:dyDescent="0.2">
      <c r="B63" s="25"/>
      <c r="C63" s="25"/>
      <c r="D63" s="25"/>
      <c r="E63" s="58"/>
      <c r="F63" s="58"/>
      <c r="G63" s="58"/>
      <c r="H63" s="58"/>
    </row>
    <row r="64" spans="1:17"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c r="C77" s="25"/>
      <c r="D77" s="25"/>
      <c r="E77" s="58"/>
      <c r="F77" s="58"/>
      <c r="G77" s="58"/>
      <c r="H77" s="58"/>
    </row>
    <row r="78" spans="2:8" x14ac:dyDescent="0.2">
      <c r="B78" s="25"/>
      <c r="C78" s="25"/>
      <c r="D78" s="25"/>
      <c r="E78" s="58"/>
      <c r="F78" s="58"/>
      <c r="G78" s="58"/>
      <c r="H78" s="58"/>
    </row>
    <row r="79" spans="2:8" x14ac:dyDescent="0.2">
      <c r="B79" s="25"/>
      <c r="C79" s="25"/>
      <c r="D79" s="25"/>
      <c r="E79" s="58"/>
      <c r="F79" s="58"/>
      <c r="G79" s="58"/>
      <c r="H79" s="58"/>
    </row>
    <row r="80" spans="2:8" x14ac:dyDescent="0.2">
      <c r="B80" s="25"/>
      <c r="C80" s="25"/>
      <c r="D80" s="25"/>
      <c r="E80" s="58"/>
      <c r="F80" s="58"/>
      <c r="G80" s="58"/>
      <c r="H80" s="58"/>
    </row>
    <row r="81" spans="2:8" x14ac:dyDescent="0.2">
      <c r="B81" s="25"/>
      <c r="C81" s="25"/>
      <c r="D81" s="25"/>
      <c r="E81" s="58"/>
      <c r="F81" s="58"/>
      <c r="G81" s="58"/>
      <c r="H81" s="58"/>
    </row>
    <row r="82" spans="2:8" x14ac:dyDescent="0.2">
      <c r="B82" s="25"/>
      <c r="C82" s="25"/>
      <c r="D82" s="25"/>
      <c r="E82" s="58"/>
      <c r="F82" s="58"/>
      <c r="G82" s="58"/>
      <c r="H82" s="58"/>
    </row>
    <row r="83" spans="2:8" x14ac:dyDescent="0.2">
      <c r="B83" s="25"/>
      <c r="C83" s="25"/>
      <c r="D83" s="25"/>
      <c r="E83" s="58"/>
      <c r="F83" s="58"/>
      <c r="G83" s="58"/>
      <c r="H83" s="58"/>
    </row>
    <row r="84" spans="2:8" x14ac:dyDescent="0.2">
      <c r="B84" s="25"/>
      <c r="C84" s="25"/>
      <c r="D84" s="25"/>
      <c r="E84" s="58"/>
      <c r="F84" s="58"/>
      <c r="G84" s="58"/>
      <c r="H84" s="58"/>
    </row>
    <row r="85" spans="2:8" x14ac:dyDescent="0.2">
      <c r="B85" s="25"/>
      <c r="C85" s="25"/>
      <c r="D85" s="25"/>
      <c r="E85" s="58"/>
      <c r="F85" s="58"/>
      <c r="G85" s="58"/>
      <c r="H85" s="58"/>
    </row>
    <row r="86" spans="2:8" x14ac:dyDescent="0.2">
      <c r="B86" s="25"/>
      <c r="C86" s="25"/>
      <c r="D86" s="25"/>
      <c r="E86" s="58"/>
      <c r="F86" s="58"/>
      <c r="G86" s="58"/>
      <c r="H86" s="58"/>
    </row>
    <row r="87" spans="2:8" x14ac:dyDescent="0.2">
      <c r="B87" s="25"/>
      <c r="C87" s="25"/>
      <c r="D87" s="25"/>
      <c r="E87" s="58"/>
      <c r="F87" s="58"/>
      <c r="G87" s="58"/>
      <c r="H87" s="58"/>
    </row>
    <row r="88" spans="2:8" x14ac:dyDescent="0.2">
      <c r="B88" s="25"/>
      <c r="C88" s="25"/>
      <c r="D88" s="25"/>
      <c r="E88" s="58"/>
      <c r="F88" s="58"/>
      <c r="G88" s="58"/>
      <c r="H88" s="58"/>
    </row>
    <row r="89" spans="2:8" x14ac:dyDescent="0.2">
      <c r="B89" s="25"/>
      <c r="C89" s="25"/>
      <c r="D89" s="25"/>
      <c r="E89" s="58"/>
      <c r="F89" s="58"/>
      <c r="G89" s="58"/>
      <c r="H89" s="58"/>
    </row>
    <row r="90" spans="2:8" x14ac:dyDescent="0.2">
      <c r="B90" s="25"/>
      <c r="C90" s="25"/>
      <c r="D90" s="25"/>
      <c r="E90" s="58"/>
      <c r="F90" s="58"/>
      <c r="G90" s="58"/>
      <c r="H90" s="58"/>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row r="107" spans="2:2" x14ac:dyDescent="0.2">
      <c r="B107" s="25"/>
    </row>
  </sheetData>
  <mergeCells count="8">
    <mergeCell ref="A53:N53"/>
    <mergeCell ref="K2:K3"/>
    <mergeCell ref="A47:N47"/>
    <mergeCell ref="A48:N48"/>
    <mergeCell ref="A49:N49"/>
    <mergeCell ref="A50:N50"/>
    <mergeCell ref="A51:N51"/>
    <mergeCell ref="A52:N52"/>
  </mergeCells>
  <dataValidations count="3">
    <dataValidation type="list" showInputMessage="1" showErrorMessage="1" sqref="B6">
      <formula1>"4, 5, 6"</formula1>
    </dataValidation>
    <dataValidation type="list" showInputMessage="1" showErrorMessage="1" sqref="J3">
      <formula1>"1,2"</formula1>
    </dataValidation>
    <dataValidation showInputMessage="1" showErrorMessage="1" sqref="I3 D6"/>
  </dataValidations>
  <hyperlinks>
    <hyperlink ref="K2:K3" location="Index!A1" display="GoTo Index"/>
  </hyperlinks>
  <pageMargins left="0.25" right="0.25" top="1" bottom="1" header="0.5" footer="0.5"/>
  <pageSetup scale="83" fitToHeight="99"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6">
    <pageSetUpPr fitToPage="1"/>
  </sheetPr>
  <dimension ref="A1:R21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2.14062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15.42578125" style="60" customWidth="1"/>
    <col min="17" max="17" width="9.140625" style="29" bestFit="1" customWidth="1"/>
    <col min="18" max="18" width="12" style="29" customWidth="1"/>
    <col min="19" max="19" width="12.7109375" style="29" bestFit="1" customWidth="1"/>
    <col min="20" max="20" width="9.140625" style="29"/>
    <col min="21" max="21" width="22.85546875" style="29" bestFit="1" customWidth="1"/>
    <col min="22" max="16384" width="9.140625" style="29"/>
  </cols>
  <sheetData>
    <row r="1" spans="1:17" s="4" customFormat="1" ht="15.75" x14ac:dyDescent="0.2">
      <c r="A1" s="1" t="s">
        <v>174</v>
      </c>
      <c r="B1" s="2">
        <v>2019</v>
      </c>
      <c r="C1" s="3"/>
      <c r="E1" s="3"/>
      <c r="G1" s="5"/>
      <c r="I1" s="5"/>
      <c r="J1" s="6"/>
      <c r="K1" s="5"/>
      <c r="L1" s="6"/>
      <c r="M1" s="5"/>
      <c r="N1" s="6"/>
    </row>
    <row r="2" spans="1:17" s="4" customFormat="1" ht="15.75" x14ac:dyDescent="0.25">
      <c r="A2" s="1" t="s">
        <v>175</v>
      </c>
      <c r="B2" s="7" t="s">
        <v>176</v>
      </c>
      <c r="C2" s="7" t="s">
        <v>0</v>
      </c>
      <c r="D2" s="6"/>
      <c r="E2" s="8"/>
      <c r="F2" s="9"/>
      <c r="G2" s="8"/>
      <c r="H2" s="6"/>
      <c r="I2" s="8"/>
      <c r="J2" s="6"/>
      <c r="K2" s="1733" t="s">
        <v>171</v>
      </c>
      <c r="L2" s="6"/>
      <c r="M2" s="8"/>
      <c r="N2" s="6"/>
    </row>
    <row r="3" spans="1:17" s="4" customFormat="1" ht="15.75" x14ac:dyDescent="0.25">
      <c r="A3" s="1" t="s">
        <v>177</v>
      </c>
      <c r="B3" s="10" t="s">
        <v>339</v>
      </c>
      <c r="C3" s="10" t="s">
        <v>340</v>
      </c>
      <c r="D3" s="6"/>
      <c r="E3" s="11"/>
      <c r="F3" s="9"/>
      <c r="G3" s="11"/>
      <c r="H3" s="6"/>
      <c r="I3" s="11"/>
      <c r="J3" s="6"/>
      <c r="K3" s="1734"/>
      <c r="L3" s="6"/>
      <c r="M3" s="11"/>
      <c r="N3" s="6"/>
    </row>
    <row r="4" spans="1:17" s="4" customFormat="1" ht="15.75" x14ac:dyDescent="0.25">
      <c r="A4" s="1" t="s">
        <v>180</v>
      </c>
      <c r="B4" s="10" t="s">
        <v>341</v>
      </c>
      <c r="C4" s="10" t="s">
        <v>4</v>
      </c>
      <c r="D4" s="6"/>
      <c r="E4" s="11"/>
      <c r="F4" s="9"/>
      <c r="G4" s="11"/>
      <c r="H4" s="6"/>
      <c r="I4" s="11"/>
      <c r="J4" s="6"/>
      <c r="K4" s="11"/>
      <c r="L4" s="6"/>
      <c r="M4" s="11"/>
      <c r="N4" s="6"/>
    </row>
    <row r="5" spans="1:17" s="4" customFormat="1" ht="15.75" x14ac:dyDescent="0.2">
      <c r="A5" s="1" t="s">
        <v>183</v>
      </c>
      <c r="B5" s="12" t="s">
        <v>211</v>
      </c>
      <c r="C5" s="12" t="s">
        <v>211</v>
      </c>
      <c r="D5" s="13"/>
      <c r="E5" s="14"/>
      <c r="G5" s="14"/>
      <c r="I5" s="14"/>
      <c r="K5" s="14"/>
      <c r="M5" s="14"/>
    </row>
    <row r="6" spans="1:17" s="4" customFormat="1" ht="15.75" x14ac:dyDescent="0.25">
      <c r="A6" s="15" t="s">
        <v>186</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187</v>
      </c>
      <c r="L7" s="23"/>
      <c r="M7" s="22" t="s">
        <v>187</v>
      </c>
      <c r="N7" s="23"/>
    </row>
    <row r="8" spans="1:17"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7"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7" s="37" customFormat="1" x14ac:dyDescent="0.2">
      <c r="A10" s="139" t="s">
        <v>222</v>
      </c>
      <c r="B10" s="140"/>
      <c r="C10" s="141"/>
      <c r="D10" s="141"/>
      <c r="E10" s="141"/>
      <c r="F10" s="141"/>
      <c r="M10" s="142"/>
      <c r="N10" s="142"/>
      <c r="O10" s="143"/>
    </row>
    <row r="11" spans="1:17" s="37" customFormat="1" x14ac:dyDescent="0.2">
      <c r="A11" s="139" t="s">
        <v>342</v>
      </c>
      <c r="B11" s="140"/>
      <c r="C11" s="141"/>
      <c r="D11" s="141"/>
      <c r="E11" s="141"/>
      <c r="F11" s="141"/>
      <c r="M11" s="142"/>
      <c r="N11" s="142"/>
      <c r="O11" s="143"/>
      <c r="Q11" s="73"/>
    </row>
    <row r="12" spans="1:17" s="37" customFormat="1" ht="14.25" x14ac:dyDescent="0.2">
      <c r="A12" s="144" t="s">
        <v>343</v>
      </c>
      <c r="B12" s="145"/>
      <c r="C12" s="112">
        <v>1133</v>
      </c>
      <c r="D12" s="141"/>
      <c r="E12" s="112">
        <v>1123</v>
      </c>
      <c r="F12" s="141"/>
      <c r="G12" s="112">
        <v>1069</v>
      </c>
      <c r="I12" s="112">
        <v>1053</v>
      </c>
      <c r="K12" s="76">
        <v>1150</v>
      </c>
      <c r="M12" s="75"/>
      <c r="N12" s="142"/>
      <c r="O12" s="146"/>
      <c r="Q12" s="73"/>
    </row>
    <row r="13" spans="1:17" s="37" customFormat="1" x14ac:dyDescent="0.2">
      <c r="A13" s="139"/>
      <c r="B13" s="140"/>
      <c r="C13" s="118"/>
      <c r="D13" s="141"/>
      <c r="E13" s="141"/>
      <c r="F13" s="141"/>
      <c r="G13" s="87"/>
      <c r="I13" s="87"/>
      <c r="K13" s="87"/>
      <c r="M13" s="142"/>
      <c r="N13" s="142"/>
      <c r="O13" s="147"/>
    </row>
    <row r="14" spans="1:17" s="37" customFormat="1" x14ac:dyDescent="0.2">
      <c r="A14" s="139" t="s">
        <v>344</v>
      </c>
      <c r="B14" s="140"/>
      <c r="C14" s="118"/>
      <c r="D14" s="141"/>
      <c r="E14" s="141"/>
      <c r="F14" s="141"/>
      <c r="G14" s="87"/>
      <c r="I14" s="87"/>
      <c r="K14" s="87"/>
      <c r="M14" s="86"/>
      <c r="N14" s="142"/>
      <c r="O14" s="147"/>
    </row>
    <row r="15" spans="1:17" s="40" customFormat="1" x14ac:dyDescent="0.2">
      <c r="A15" s="144" t="s">
        <v>345</v>
      </c>
      <c r="B15" s="145"/>
      <c r="C15" s="112">
        <f>154087+C23+C28</f>
        <v>170022</v>
      </c>
      <c r="D15" s="118"/>
      <c r="E15" s="112">
        <f>156284+E23+E28</f>
        <v>172183</v>
      </c>
      <c r="F15" s="118"/>
      <c r="G15" s="76">
        <v>174822</v>
      </c>
      <c r="I15" s="76">
        <f>160645+I23+I28</f>
        <v>176513</v>
      </c>
      <c r="K15" s="76">
        <f>162930+K23+K28</f>
        <v>178798</v>
      </c>
      <c r="M15" s="75"/>
      <c r="N15" s="148"/>
      <c r="O15" s="146"/>
    </row>
    <row r="16" spans="1:17" s="40" customFormat="1" x14ac:dyDescent="0.2">
      <c r="A16" s="144" t="s">
        <v>346</v>
      </c>
      <c r="B16" s="145"/>
      <c r="C16" s="118"/>
      <c r="D16" s="118"/>
      <c r="E16" s="118"/>
      <c r="F16" s="118"/>
      <c r="M16" s="75"/>
      <c r="N16" s="148"/>
      <c r="O16" s="149"/>
    </row>
    <row r="17" spans="1:18" s="40" customFormat="1" x14ac:dyDescent="0.2">
      <c r="A17" s="150" t="s">
        <v>347</v>
      </c>
      <c r="B17" s="145"/>
      <c r="C17" s="151">
        <v>3183000</v>
      </c>
      <c r="D17" s="118"/>
      <c r="E17" s="126">
        <v>3170000</v>
      </c>
      <c r="F17" s="118"/>
      <c r="G17" s="126">
        <v>3187000</v>
      </c>
      <c r="I17" s="126">
        <v>3245000</v>
      </c>
      <c r="K17" s="126">
        <v>3271000</v>
      </c>
      <c r="M17" s="96"/>
      <c r="O17" s="151"/>
      <c r="P17" s="152"/>
      <c r="Q17" s="152"/>
      <c r="R17" s="98"/>
    </row>
    <row r="18" spans="1:18" s="40" customFormat="1" x14ac:dyDescent="0.2">
      <c r="A18" s="150" t="s">
        <v>348</v>
      </c>
      <c r="B18" s="145"/>
      <c r="C18" s="151">
        <v>10900000</v>
      </c>
      <c r="D18" s="118"/>
      <c r="E18" s="126">
        <v>10853000</v>
      </c>
      <c r="F18" s="118"/>
      <c r="G18" s="126">
        <v>10913000</v>
      </c>
      <c r="I18" s="126">
        <v>11114000</v>
      </c>
      <c r="K18" s="126">
        <v>11199000</v>
      </c>
      <c r="M18" s="96"/>
      <c r="O18" s="151"/>
      <c r="P18" s="152"/>
      <c r="Q18" s="152"/>
      <c r="R18" s="98"/>
    </row>
    <row r="19" spans="1:18" s="40" customFormat="1" x14ac:dyDescent="0.2">
      <c r="A19" s="150" t="s">
        <v>349</v>
      </c>
      <c r="B19" s="145"/>
      <c r="C19" s="151">
        <v>44661000</v>
      </c>
      <c r="D19" s="118"/>
      <c r="E19" s="126">
        <v>44469000</v>
      </c>
      <c r="F19" s="118"/>
      <c r="G19" s="126">
        <v>44714000</v>
      </c>
      <c r="I19" s="126">
        <v>45538000</v>
      </c>
      <c r="K19" s="126">
        <v>45888000</v>
      </c>
      <c r="M19" s="96"/>
      <c r="O19" s="151"/>
      <c r="P19" s="152"/>
      <c r="Q19" s="152"/>
      <c r="R19" s="98"/>
    </row>
    <row r="20" spans="1:18" s="40" customFormat="1" x14ac:dyDescent="0.2">
      <c r="A20" s="150" t="s">
        <v>350</v>
      </c>
      <c r="B20" s="145"/>
      <c r="C20" s="151">
        <v>37716000</v>
      </c>
      <c r="D20" s="118"/>
      <c r="E20" s="126">
        <v>37553000</v>
      </c>
      <c r="F20" s="118"/>
      <c r="G20" s="126">
        <v>37760000</v>
      </c>
      <c r="I20" s="126">
        <v>38455000</v>
      </c>
      <c r="K20" s="126">
        <v>38751000</v>
      </c>
      <c r="M20" s="96"/>
      <c r="O20" s="151"/>
      <c r="P20" s="152"/>
      <c r="Q20" s="152"/>
      <c r="R20" s="98"/>
    </row>
    <row r="21" spans="1:18" s="40" customFormat="1" x14ac:dyDescent="0.2">
      <c r="A21" s="144" t="s">
        <v>351</v>
      </c>
      <c r="B21" s="145"/>
      <c r="C21" s="151">
        <f>SUM(C17:C20)</f>
        <v>96460000</v>
      </c>
      <c r="D21" s="151"/>
      <c r="E21" s="151">
        <f>SUM(E17:E20)</f>
        <v>96045000</v>
      </c>
      <c r="F21" s="151" t="s">
        <v>352</v>
      </c>
      <c r="G21" s="151">
        <f>SUM(G17:G20)</f>
        <v>96574000</v>
      </c>
      <c r="I21" s="151">
        <f>SUM(I17:I20)</f>
        <v>98352000</v>
      </c>
      <c r="K21" s="151">
        <f t="shared" ref="K21" si="0">SUM(K17:K20)</f>
        <v>99109000</v>
      </c>
      <c r="M21" s="96"/>
      <c r="O21" s="151"/>
    </row>
    <row r="22" spans="1:18" s="40" customFormat="1" x14ac:dyDescent="0.2">
      <c r="A22" s="144" t="s">
        <v>353</v>
      </c>
      <c r="B22" s="145"/>
      <c r="C22" s="149"/>
      <c r="D22" s="118"/>
      <c r="E22" s="118"/>
      <c r="F22" s="118"/>
      <c r="G22" s="118"/>
      <c r="I22" s="118"/>
      <c r="M22" s="79"/>
      <c r="O22" s="149"/>
    </row>
    <row r="23" spans="1:18" s="40" customFormat="1" x14ac:dyDescent="0.2">
      <c r="A23" s="150" t="s">
        <v>354</v>
      </c>
      <c r="B23" s="145"/>
      <c r="C23" s="153">
        <v>13966</v>
      </c>
      <c r="D23" s="118"/>
      <c r="E23" s="153">
        <v>14000</v>
      </c>
      <c r="F23" s="118"/>
      <c r="G23" s="112">
        <v>14001</v>
      </c>
      <c r="I23" s="112">
        <v>14018</v>
      </c>
      <c r="J23" s="118"/>
      <c r="K23" s="112">
        <v>14018</v>
      </c>
      <c r="M23" s="75"/>
      <c r="O23" s="153"/>
    </row>
    <row r="24" spans="1:18" s="40" customFormat="1" x14ac:dyDescent="0.2">
      <c r="A24" s="150" t="s">
        <v>355</v>
      </c>
      <c r="B24" s="145"/>
      <c r="C24" s="151">
        <v>139343000</v>
      </c>
      <c r="D24" s="118"/>
      <c r="E24" s="151">
        <v>145847000</v>
      </c>
      <c r="F24" s="118"/>
      <c r="G24" s="126">
        <v>142279000</v>
      </c>
      <c r="I24" s="126">
        <v>149740000</v>
      </c>
      <c r="K24" s="126">
        <v>154277000</v>
      </c>
      <c r="L24" s="63"/>
      <c r="M24" s="96"/>
      <c r="O24" s="151"/>
    </row>
    <row r="25" spans="1:18" s="40" customFormat="1" x14ac:dyDescent="0.2">
      <c r="A25" s="150" t="s">
        <v>356</v>
      </c>
      <c r="B25" s="145"/>
      <c r="C25" s="154">
        <f>C24/C23</f>
        <v>9977.3020191894593</v>
      </c>
      <c r="D25" s="154" t="s">
        <v>352</v>
      </c>
      <c r="E25" s="154">
        <f>E24/E23</f>
        <v>10417.642857142857</v>
      </c>
      <c r="F25" s="154" t="s">
        <v>352</v>
      </c>
      <c r="G25" s="154">
        <f>G24/G23</f>
        <v>10162.059852867653</v>
      </c>
      <c r="H25" s="98"/>
      <c r="I25" s="154">
        <f t="shared" ref="I25" si="1">I24/I23</f>
        <v>10681.980311028678</v>
      </c>
      <c r="J25" s="98"/>
      <c r="K25" s="154">
        <f>K24/K23</f>
        <v>11005.635611356827</v>
      </c>
      <c r="L25" s="63"/>
      <c r="M25" s="155"/>
      <c r="O25" s="154"/>
    </row>
    <row r="26" spans="1:18" s="40" customFormat="1" x14ac:dyDescent="0.2">
      <c r="A26" s="144" t="s">
        <v>357</v>
      </c>
      <c r="B26" s="145"/>
      <c r="C26" s="149"/>
      <c r="D26" s="118"/>
      <c r="E26" s="118"/>
      <c r="F26" s="118"/>
      <c r="K26" s="63"/>
      <c r="L26" s="63"/>
      <c r="M26" s="155"/>
      <c r="O26" s="149"/>
    </row>
    <row r="27" spans="1:18" s="40" customFormat="1" x14ac:dyDescent="0.2">
      <c r="A27" s="150" t="s">
        <v>358</v>
      </c>
      <c r="B27" s="145"/>
      <c r="C27" s="149"/>
      <c r="D27" s="118"/>
      <c r="E27" s="118"/>
      <c r="F27" s="118"/>
      <c r="K27" s="63"/>
      <c r="L27" s="63"/>
      <c r="M27" s="79"/>
      <c r="O27" s="149"/>
    </row>
    <row r="28" spans="1:18" s="40" customFormat="1" x14ac:dyDescent="0.2">
      <c r="A28" s="156" t="s">
        <v>354</v>
      </c>
      <c r="B28" s="145"/>
      <c r="C28" s="153">
        <v>1969</v>
      </c>
      <c r="D28" s="118"/>
      <c r="E28" s="153">
        <v>1899</v>
      </c>
      <c r="F28" s="118"/>
      <c r="G28" s="112">
        <v>1905</v>
      </c>
      <c r="I28" s="112">
        <v>1850</v>
      </c>
      <c r="J28" s="118"/>
      <c r="K28" s="112">
        <v>1850</v>
      </c>
      <c r="L28" s="63"/>
      <c r="M28" s="75"/>
      <c r="O28" s="153"/>
    </row>
    <row r="29" spans="1:18" s="40" customFormat="1" x14ac:dyDescent="0.2">
      <c r="A29" s="156" t="s">
        <v>359</v>
      </c>
      <c r="B29" s="145"/>
      <c r="C29" s="151">
        <v>22531000</v>
      </c>
      <c r="D29" s="118"/>
      <c r="E29" s="126">
        <v>21024000</v>
      </c>
      <c r="F29" s="118"/>
      <c r="G29" s="126">
        <v>21906000</v>
      </c>
      <c r="I29" s="126">
        <v>20332000</v>
      </c>
      <c r="K29" s="126">
        <v>19570000</v>
      </c>
      <c r="L29" s="63"/>
      <c r="M29" s="96"/>
      <c r="O29" s="151"/>
      <c r="P29" s="98"/>
    </row>
    <row r="30" spans="1:18" s="40" customFormat="1" x14ac:dyDescent="0.2">
      <c r="A30" s="156" t="s">
        <v>356</v>
      </c>
      <c r="B30" s="145"/>
      <c r="C30" s="154">
        <f>C29/C28</f>
        <v>11442.864398171661</v>
      </c>
      <c r="D30" s="154" t="s">
        <v>352</v>
      </c>
      <c r="E30" s="154">
        <f>E29/E28</f>
        <v>11071.090047393365</v>
      </c>
      <c r="F30" s="154" t="s">
        <v>352</v>
      </c>
      <c r="G30" s="154">
        <f>G29/G28</f>
        <v>11499.212598425196</v>
      </c>
      <c r="I30" s="154">
        <f t="shared" ref="I30:K30" si="2">I29/I28</f>
        <v>10990.27027027027</v>
      </c>
      <c r="J30" s="118"/>
      <c r="K30" s="154">
        <f t="shared" si="2"/>
        <v>10578.378378378378</v>
      </c>
      <c r="L30" s="63"/>
      <c r="M30" s="155"/>
      <c r="O30" s="154"/>
    </row>
    <row r="31" spans="1:18" s="40" customFormat="1" x14ac:dyDescent="0.2">
      <c r="A31" s="150" t="s">
        <v>360</v>
      </c>
      <c r="B31" s="145"/>
      <c r="C31" s="149"/>
      <c r="D31" s="118"/>
      <c r="E31" s="149"/>
      <c r="F31" s="118"/>
      <c r="G31" s="118"/>
      <c r="I31" s="118"/>
      <c r="J31" s="118"/>
      <c r="K31" s="111"/>
      <c r="L31" s="63"/>
      <c r="M31" s="79"/>
      <c r="O31" s="149"/>
    </row>
    <row r="32" spans="1:18" s="40" customFormat="1" x14ac:dyDescent="0.2">
      <c r="A32" s="156" t="s">
        <v>354</v>
      </c>
      <c r="B32" s="145"/>
      <c r="C32" s="153">
        <v>6081</v>
      </c>
      <c r="D32" s="118"/>
      <c r="E32" s="157">
        <v>5838</v>
      </c>
      <c r="F32" s="158"/>
      <c r="G32" s="159">
        <v>5961</v>
      </c>
      <c r="I32" s="159">
        <v>5750</v>
      </c>
      <c r="J32" s="118"/>
      <c r="K32" s="159">
        <v>5750</v>
      </c>
      <c r="L32" s="63"/>
      <c r="M32" s="75"/>
      <c r="O32" s="153"/>
    </row>
    <row r="33" spans="1:16" s="40" customFormat="1" x14ac:dyDescent="0.2">
      <c r="A33" s="156" t="s">
        <v>359</v>
      </c>
      <c r="B33" s="145"/>
      <c r="C33" s="151">
        <v>70572000</v>
      </c>
      <c r="D33" s="118"/>
      <c r="E33" s="1610">
        <v>65854000</v>
      </c>
      <c r="F33" s="158"/>
      <c r="G33" s="160">
        <v>68615000</v>
      </c>
      <c r="I33" s="160">
        <v>63684000</v>
      </c>
      <c r="K33" s="160">
        <v>61298000</v>
      </c>
      <c r="L33" s="63"/>
      <c r="M33" s="96"/>
      <c r="O33" s="151"/>
      <c r="P33" s="152"/>
    </row>
    <row r="34" spans="1:16" s="40" customFormat="1" x14ac:dyDescent="0.2">
      <c r="A34" s="156" t="s">
        <v>356</v>
      </c>
      <c r="B34" s="145"/>
      <c r="C34" s="154">
        <f>C33/C32</f>
        <v>11605.328071040947</v>
      </c>
      <c r="D34" s="154" t="s">
        <v>352</v>
      </c>
      <c r="E34" s="154">
        <f>E33/E32</f>
        <v>11280.232956491949</v>
      </c>
      <c r="F34" s="161" t="s">
        <v>352</v>
      </c>
      <c r="G34" s="154">
        <f>G33/G32</f>
        <v>11510.652575071297</v>
      </c>
      <c r="I34" s="154">
        <f t="shared" ref="I34:K34" si="3">I33/I32</f>
        <v>11075.478260869566</v>
      </c>
      <c r="K34" s="154">
        <f t="shared" si="3"/>
        <v>10660.521739130434</v>
      </c>
      <c r="L34" s="63"/>
      <c r="M34" s="155"/>
      <c r="O34" s="154"/>
    </row>
    <row r="35" spans="1:16" s="40" customFormat="1" x14ac:dyDescent="0.2">
      <c r="A35" s="144" t="s">
        <v>361</v>
      </c>
      <c r="B35" s="145"/>
      <c r="C35" s="149"/>
      <c r="D35" s="118"/>
      <c r="E35" s="149"/>
      <c r="F35" s="118"/>
      <c r="K35" s="111"/>
      <c r="L35" s="63"/>
      <c r="M35" s="155"/>
      <c r="O35" s="149"/>
    </row>
    <row r="36" spans="1:16" s="40" customFormat="1" x14ac:dyDescent="0.2">
      <c r="A36" s="150" t="s">
        <v>354</v>
      </c>
      <c r="B36" s="145"/>
      <c r="C36" s="162">
        <f>+C28+C32</f>
        <v>8050</v>
      </c>
      <c r="D36" s="118"/>
      <c r="E36" s="162">
        <f>+E28+E32</f>
        <v>7737</v>
      </c>
      <c r="F36" s="118"/>
      <c r="G36" s="162">
        <v>7866</v>
      </c>
      <c r="I36" s="162">
        <f>+I28+I32</f>
        <v>7600</v>
      </c>
      <c r="J36" s="118"/>
      <c r="K36" s="162">
        <f>+K28+K32</f>
        <v>7600</v>
      </c>
      <c r="L36" s="63"/>
      <c r="M36" s="163"/>
      <c r="O36" s="162"/>
    </row>
    <row r="37" spans="1:16" s="40" customFormat="1" x14ac:dyDescent="0.2">
      <c r="A37" s="150" t="s">
        <v>359</v>
      </c>
      <c r="B37" s="145"/>
      <c r="C37" s="151">
        <v>93103000</v>
      </c>
      <c r="D37" s="118"/>
      <c r="E37" s="126">
        <f>E29+E33</f>
        <v>86878000</v>
      </c>
      <c r="F37" s="118"/>
      <c r="G37" s="126">
        <v>90521000</v>
      </c>
      <c r="I37" s="126">
        <f>SUM(I29,I33)</f>
        <v>84016000</v>
      </c>
      <c r="K37" s="126">
        <f>SUM(K29,K33)</f>
        <v>80868000</v>
      </c>
      <c r="L37" s="63"/>
      <c r="M37" s="155"/>
      <c r="O37" s="154"/>
    </row>
    <row r="38" spans="1:16" s="40" customFormat="1" x14ac:dyDescent="0.2">
      <c r="A38" s="150" t="s">
        <v>356</v>
      </c>
      <c r="B38" s="145"/>
      <c r="C38" s="154">
        <f>C37/C36</f>
        <v>11565.590062111802</v>
      </c>
      <c r="D38" s="154" t="s">
        <v>352</v>
      </c>
      <c r="E38" s="154">
        <f>E37/E36</f>
        <v>11228.900090474344</v>
      </c>
      <c r="F38" s="154" t="s">
        <v>352</v>
      </c>
      <c r="G38" s="154">
        <f>G37/G36</f>
        <v>11507.882023900331</v>
      </c>
      <c r="I38" s="154">
        <f t="shared" ref="I38:K38" si="4">I37/I36</f>
        <v>11054.736842105263</v>
      </c>
      <c r="K38" s="154">
        <f t="shared" si="4"/>
        <v>10640.526315789473</v>
      </c>
      <c r="L38" s="63"/>
      <c r="M38" s="155"/>
      <c r="O38" s="154"/>
    </row>
    <row r="39" spans="1:16" s="40" customFormat="1" x14ac:dyDescent="0.2">
      <c r="A39" s="144" t="s">
        <v>362</v>
      </c>
      <c r="B39" s="145"/>
      <c r="C39" s="118"/>
      <c r="D39" s="118"/>
      <c r="E39" s="118"/>
      <c r="F39" s="118"/>
      <c r="K39" s="63"/>
      <c r="L39" s="63"/>
      <c r="M39" s="155"/>
      <c r="O39" s="149"/>
    </row>
    <row r="40" spans="1:16" s="40" customFormat="1" x14ac:dyDescent="0.2">
      <c r="A40" s="150" t="s">
        <v>363</v>
      </c>
      <c r="B40" s="145"/>
      <c r="C40" s="118"/>
      <c r="D40" s="118"/>
      <c r="E40" s="118"/>
      <c r="F40" s="118"/>
      <c r="K40" s="63"/>
      <c r="L40" s="63"/>
      <c r="M40" s="155"/>
      <c r="O40" s="149"/>
    </row>
    <row r="41" spans="1:16" s="40" customFormat="1" x14ac:dyDescent="0.2">
      <c r="A41" s="156" t="s">
        <v>364</v>
      </c>
      <c r="B41" s="145"/>
      <c r="C41" s="153">
        <v>900</v>
      </c>
      <c r="D41" s="120"/>
      <c r="E41" s="157">
        <v>900</v>
      </c>
      <c r="F41" s="159"/>
      <c r="G41" s="159">
        <v>900</v>
      </c>
      <c r="H41" s="77"/>
      <c r="I41" s="159">
        <v>900</v>
      </c>
      <c r="J41" s="120"/>
      <c r="K41" s="112">
        <v>900</v>
      </c>
      <c r="L41" s="111"/>
      <c r="M41" s="164"/>
      <c r="N41" s="118"/>
      <c r="O41" s="153"/>
    </row>
    <row r="42" spans="1:16" s="40" customFormat="1" x14ac:dyDescent="0.2">
      <c r="A42" s="156" t="s">
        <v>359</v>
      </c>
      <c r="B42" s="145"/>
      <c r="C42" s="151">
        <v>10793000</v>
      </c>
      <c r="D42" s="118"/>
      <c r="E42" s="1610">
        <v>10890000</v>
      </c>
      <c r="F42" s="158"/>
      <c r="G42" s="160">
        <v>10353000</v>
      </c>
      <c r="I42" s="160">
        <v>10833000</v>
      </c>
      <c r="K42" s="97">
        <v>10884000</v>
      </c>
      <c r="L42" s="63"/>
      <c r="M42" s="155"/>
      <c r="O42" s="151"/>
      <c r="P42" s="152"/>
    </row>
    <row r="43" spans="1:16" s="40" customFormat="1" x14ac:dyDescent="0.2">
      <c r="A43" s="156" t="s">
        <v>356</v>
      </c>
      <c r="B43" s="145"/>
      <c r="C43" s="154">
        <f>C42/C41</f>
        <v>11992.222222222223</v>
      </c>
      <c r="D43" s="154"/>
      <c r="E43" s="154">
        <f>E42/E41</f>
        <v>12100</v>
      </c>
      <c r="F43" s="154"/>
      <c r="G43" s="154">
        <f>G42/G41</f>
        <v>11503.333333333334</v>
      </c>
      <c r="H43" s="154"/>
      <c r="I43" s="154">
        <f t="shared" ref="I43:K43" si="5">I42/I41</f>
        <v>12036.666666666666</v>
      </c>
      <c r="J43" s="154"/>
      <c r="K43" s="154">
        <f t="shared" si="5"/>
        <v>12093.333333333334</v>
      </c>
      <c r="L43" s="63"/>
      <c r="M43" s="155"/>
      <c r="O43" s="154"/>
    </row>
    <row r="44" spans="1:16" s="40" customFormat="1" x14ac:dyDescent="0.2">
      <c r="A44" s="150" t="s">
        <v>365</v>
      </c>
      <c r="B44" s="145"/>
      <c r="C44" s="149"/>
      <c r="D44" s="118"/>
      <c r="E44" s="149"/>
      <c r="F44" s="118"/>
      <c r="K44" s="63"/>
      <c r="L44" s="63"/>
      <c r="M44" s="79"/>
      <c r="O44" s="149"/>
    </row>
    <row r="45" spans="1:16" s="40" customFormat="1" x14ac:dyDescent="0.2">
      <c r="A45" s="156" t="s">
        <v>366</v>
      </c>
      <c r="B45" s="145"/>
      <c r="C45" s="153">
        <v>660</v>
      </c>
      <c r="D45" s="120"/>
      <c r="E45" s="153">
        <v>660</v>
      </c>
      <c r="F45" s="120"/>
      <c r="G45" s="112">
        <v>660</v>
      </c>
      <c r="H45" s="77"/>
      <c r="I45" s="112">
        <v>660</v>
      </c>
      <c r="J45" s="77"/>
      <c r="K45" s="76">
        <v>660</v>
      </c>
      <c r="L45" s="63"/>
      <c r="M45" s="75"/>
      <c r="O45" s="153"/>
    </row>
    <row r="46" spans="1:16" s="40" customFormat="1" x14ac:dyDescent="0.2">
      <c r="A46" s="156" t="s">
        <v>359</v>
      </c>
      <c r="B46" s="145"/>
      <c r="C46" s="151">
        <v>4281000</v>
      </c>
      <c r="D46" s="118"/>
      <c r="E46" s="126">
        <v>4324000</v>
      </c>
      <c r="F46" s="118"/>
      <c r="G46" s="126">
        <v>4106000</v>
      </c>
      <c r="I46" s="126">
        <v>4286000</v>
      </c>
      <c r="K46" s="126">
        <v>4306000</v>
      </c>
      <c r="L46" s="63"/>
      <c r="M46" s="96"/>
      <c r="O46" s="151"/>
      <c r="P46" s="152"/>
    </row>
    <row r="47" spans="1:16" s="40" customFormat="1" x14ac:dyDescent="0.2">
      <c r="A47" s="156" t="s">
        <v>367</v>
      </c>
      <c r="B47" s="145"/>
      <c r="C47" s="161">
        <f>C46/C45</f>
        <v>6486.363636363636</v>
      </c>
      <c r="D47" s="154" t="s">
        <v>352</v>
      </c>
      <c r="E47" s="161">
        <f>E46/E45</f>
        <v>6551.515151515152</v>
      </c>
      <c r="F47" s="154" t="s">
        <v>352</v>
      </c>
      <c r="G47" s="161">
        <f>G46/G45</f>
        <v>6221.212121212121</v>
      </c>
      <c r="I47" s="161">
        <f>I46/I45</f>
        <v>6493.939393939394</v>
      </c>
      <c r="K47" s="161">
        <f t="shared" ref="K47" si="6">K46/K45</f>
        <v>6524.242424242424</v>
      </c>
      <c r="L47" s="63"/>
      <c r="M47" s="165"/>
      <c r="O47" s="154"/>
    </row>
    <row r="48" spans="1:16" s="40" customFormat="1" x14ac:dyDescent="0.2">
      <c r="A48" s="144" t="s">
        <v>368</v>
      </c>
      <c r="B48" s="145"/>
      <c r="C48" s="154">
        <f>+C46+C42</f>
        <v>15074000</v>
      </c>
      <c r="D48" s="154"/>
      <c r="E48" s="154">
        <f>+E46+E42</f>
        <v>15214000</v>
      </c>
      <c r="F48" s="154"/>
      <c r="G48" s="154">
        <f>+G46+G42</f>
        <v>14459000</v>
      </c>
      <c r="I48" s="154">
        <f t="shared" ref="I48:K48" si="7">+I46+I42</f>
        <v>15119000</v>
      </c>
      <c r="K48" s="154">
        <f t="shared" si="7"/>
        <v>15190000</v>
      </c>
      <c r="L48" s="63"/>
      <c r="M48" s="155"/>
      <c r="O48" s="154"/>
    </row>
    <row r="49" spans="1:17" s="40" customFormat="1" x14ac:dyDescent="0.2">
      <c r="A49" s="144" t="s">
        <v>369</v>
      </c>
      <c r="B49" s="145"/>
      <c r="C49" s="149"/>
      <c r="D49" s="118"/>
      <c r="E49" s="149"/>
      <c r="F49" s="118"/>
      <c r="K49" s="63"/>
      <c r="L49" s="63"/>
      <c r="M49" s="79"/>
      <c r="O49" s="149"/>
    </row>
    <row r="50" spans="1:17" s="40" customFormat="1" x14ac:dyDescent="0.2">
      <c r="A50" s="150" t="s">
        <v>354</v>
      </c>
      <c r="B50" s="145"/>
      <c r="C50" s="153">
        <v>172</v>
      </c>
      <c r="D50" s="120"/>
      <c r="E50" s="153">
        <v>178</v>
      </c>
      <c r="F50" s="120"/>
      <c r="G50" s="112">
        <v>178</v>
      </c>
      <c r="H50" s="77"/>
      <c r="I50" s="112">
        <v>178</v>
      </c>
      <c r="J50" s="77"/>
      <c r="K50" s="76">
        <v>178</v>
      </c>
      <c r="L50" s="63"/>
      <c r="M50" s="75"/>
      <c r="O50" s="153"/>
    </row>
    <row r="51" spans="1:17" s="40" customFormat="1" x14ac:dyDescent="0.2">
      <c r="A51" s="150" t="s">
        <v>359</v>
      </c>
      <c r="B51" s="145"/>
      <c r="C51" s="151">
        <v>14176000</v>
      </c>
      <c r="D51" s="118"/>
      <c r="E51" s="126">
        <v>14327000</v>
      </c>
      <c r="F51" s="118"/>
      <c r="G51" s="126">
        <v>16912000</v>
      </c>
      <c r="I51" s="126">
        <v>15639000</v>
      </c>
      <c r="K51" s="126">
        <v>15799000</v>
      </c>
      <c r="L51" s="63"/>
      <c r="M51" s="96"/>
      <c r="O51" s="151"/>
    </row>
    <row r="52" spans="1:17" s="40" customFormat="1" x14ac:dyDescent="0.2">
      <c r="A52" s="150" t="s">
        <v>356</v>
      </c>
      <c r="B52" s="145"/>
      <c r="C52" s="154">
        <f>C51/C50</f>
        <v>82418.604651162794</v>
      </c>
      <c r="D52" s="154" t="s">
        <v>352</v>
      </c>
      <c r="E52" s="154">
        <f>E51/E50</f>
        <v>80488.764044943819</v>
      </c>
      <c r="F52" s="154" t="s">
        <v>352</v>
      </c>
      <c r="G52" s="154">
        <f>G51/G50</f>
        <v>95011.235955056181</v>
      </c>
      <c r="I52" s="154">
        <f t="shared" ref="I52:K52" si="8">I51/I50</f>
        <v>87859.550561797747</v>
      </c>
      <c r="K52" s="154">
        <f t="shared" si="8"/>
        <v>88758.426966292129</v>
      </c>
      <c r="L52" s="63"/>
      <c r="M52" s="155"/>
      <c r="O52" s="154"/>
    </row>
    <row r="53" spans="1:17" s="40" customFormat="1" ht="14.25" customHeight="1" x14ac:dyDescent="0.2">
      <c r="A53" s="150"/>
      <c r="B53" s="145"/>
      <c r="C53" s="118"/>
      <c r="D53" s="118"/>
      <c r="E53" s="118"/>
      <c r="F53" s="118"/>
      <c r="K53" s="63"/>
      <c r="L53" s="63"/>
      <c r="M53" s="166"/>
      <c r="O53" s="149"/>
    </row>
    <row r="54" spans="1:17" x14ac:dyDescent="0.2">
      <c r="A54" s="167" t="s">
        <v>370</v>
      </c>
      <c r="B54" s="145"/>
      <c r="C54" s="168"/>
      <c r="D54" s="169"/>
      <c r="E54" s="168"/>
      <c r="F54" s="169"/>
      <c r="M54" s="96"/>
      <c r="N54" s="148"/>
      <c r="O54" s="170"/>
      <c r="P54" s="40"/>
      <c r="Q54" s="31"/>
    </row>
    <row r="55" spans="1:17" x14ac:dyDescent="0.2">
      <c r="A55" s="171" t="s">
        <v>371</v>
      </c>
      <c r="B55" s="145"/>
      <c r="C55" s="168"/>
      <c r="D55" s="169"/>
      <c r="E55" s="168"/>
      <c r="F55" s="169"/>
      <c r="M55" s="96"/>
      <c r="N55" s="148"/>
      <c r="O55" s="170"/>
      <c r="P55" s="40"/>
      <c r="Q55" s="31"/>
    </row>
    <row r="56" spans="1:17" x14ac:dyDescent="0.2">
      <c r="A56" s="172" t="s">
        <v>372</v>
      </c>
      <c r="B56" s="145"/>
      <c r="C56" s="168"/>
      <c r="D56" s="169"/>
      <c r="E56" s="168"/>
      <c r="F56" s="169"/>
      <c r="M56" s="75"/>
      <c r="N56" s="148"/>
      <c r="O56" s="170"/>
      <c r="P56" s="40"/>
      <c r="Q56" s="31"/>
    </row>
    <row r="57" spans="1:17" x14ac:dyDescent="0.2">
      <c r="A57" s="173" t="s">
        <v>373</v>
      </c>
      <c r="B57" s="145"/>
      <c r="C57" s="174">
        <v>24944</v>
      </c>
      <c r="D57" s="169"/>
      <c r="E57" s="174">
        <v>27917</v>
      </c>
      <c r="F57" s="169"/>
      <c r="G57" s="175">
        <v>27171</v>
      </c>
      <c r="I57" s="175">
        <v>27917</v>
      </c>
      <c r="K57" s="175">
        <v>29030</v>
      </c>
      <c r="M57" s="75"/>
      <c r="N57" s="148"/>
      <c r="O57" s="174"/>
      <c r="P57" s="40"/>
      <c r="Q57" s="31"/>
    </row>
    <row r="58" spans="1:17" x14ac:dyDescent="0.2">
      <c r="A58" s="173" t="s">
        <v>359</v>
      </c>
      <c r="B58" s="145"/>
      <c r="C58" s="176">
        <v>33360000</v>
      </c>
      <c r="D58" s="176"/>
      <c r="E58" s="176">
        <v>37910000</v>
      </c>
      <c r="F58" s="176"/>
      <c r="G58" s="177">
        <v>34105000</v>
      </c>
      <c r="I58" s="177">
        <v>39084000</v>
      </c>
      <c r="K58" s="177">
        <v>43634000</v>
      </c>
      <c r="M58" s="96"/>
      <c r="N58" s="148"/>
      <c r="O58" s="176"/>
      <c r="P58" s="40"/>
      <c r="Q58" s="31"/>
    </row>
    <row r="59" spans="1:17" x14ac:dyDescent="0.2">
      <c r="A59" s="173" t="s">
        <v>374</v>
      </c>
      <c r="B59" s="145"/>
      <c r="C59" s="178">
        <f>C58/C57</f>
        <v>1337.395766516998</v>
      </c>
      <c r="D59" s="178"/>
      <c r="E59" s="178">
        <f>E58/E57</f>
        <v>1357.9539348783894</v>
      </c>
      <c r="F59" s="178"/>
      <c r="G59" s="178">
        <f>G58/G57</f>
        <v>1255.1985572853409</v>
      </c>
      <c r="I59" s="178">
        <f t="shared" ref="I59:K59" si="9">I58/I57</f>
        <v>1400.007164093563</v>
      </c>
      <c r="K59" s="178">
        <f t="shared" si="9"/>
        <v>1503.0657940062006</v>
      </c>
      <c r="M59" s="96"/>
      <c r="N59" s="148"/>
      <c r="O59" s="178"/>
      <c r="P59" s="118"/>
      <c r="Q59" s="31"/>
    </row>
    <row r="60" spans="1:17" s="183" customFormat="1" ht="25.5" x14ac:dyDescent="0.2">
      <c r="A60" s="179" t="s">
        <v>375</v>
      </c>
      <c r="B60" s="171"/>
      <c r="C60" s="180">
        <v>419</v>
      </c>
      <c r="D60" s="180"/>
      <c r="E60" s="180">
        <v>370</v>
      </c>
      <c r="F60" s="181"/>
      <c r="G60" s="182">
        <v>440</v>
      </c>
      <c r="I60" s="182">
        <v>370</v>
      </c>
      <c r="K60" s="182">
        <v>370</v>
      </c>
      <c r="M60" s="184"/>
      <c r="N60" s="185"/>
      <c r="O60" s="186"/>
      <c r="P60" s="187"/>
      <c r="Q60" s="188"/>
    </row>
    <row r="61" spans="1:17" s="194" customFormat="1" ht="25.5" x14ac:dyDescent="0.25">
      <c r="A61" s="189" t="s">
        <v>376</v>
      </c>
      <c r="B61" s="190"/>
      <c r="C61" s="191">
        <v>14683</v>
      </c>
      <c r="D61" s="192"/>
      <c r="E61" s="191">
        <v>14374</v>
      </c>
      <c r="F61" s="192"/>
      <c r="G61" s="193">
        <v>14683</v>
      </c>
      <c r="I61" s="193">
        <v>14683</v>
      </c>
      <c r="K61" s="193">
        <v>14683</v>
      </c>
      <c r="M61" s="195"/>
      <c r="N61" s="196"/>
      <c r="O61" s="191"/>
      <c r="P61" s="197"/>
      <c r="Q61" s="198"/>
    </row>
    <row r="62" spans="1:17" x14ac:dyDescent="0.2">
      <c r="A62" s="172" t="s">
        <v>377</v>
      </c>
      <c r="B62" s="145"/>
      <c r="C62" s="170"/>
      <c r="D62" s="169"/>
      <c r="E62" s="170"/>
      <c r="F62" s="169"/>
      <c r="M62" s="75"/>
      <c r="N62" s="148"/>
      <c r="O62" s="170"/>
      <c r="P62" s="40"/>
      <c r="Q62" s="31"/>
    </row>
    <row r="63" spans="1:17" x14ac:dyDescent="0.2">
      <c r="A63" s="173" t="s">
        <v>378</v>
      </c>
      <c r="B63" s="145"/>
      <c r="C63" s="174">
        <v>21442</v>
      </c>
      <c r="D63" s="174"/>
      <c r="E63" s="174">
        <v>20656</v>
      </c>
      <c r="F63" s="169"/>
      <c r="G63" s="199">
        <v>17291</v>
      </c>
      <c r="I63" s="199">
        <v>18419</v>
      </c>
      <c r="K63" s="199">
        <v>18419</v>
      </c>
      <c r="M63" s="75"/>
      <c r="N63" s="148"/>
      <c r="O63" s="174"/>
      <c r="P63" s="40"/>
      <c r="Q63" s="31"/>
    </row>
    <row r="64" spans="1:17" x14ac:dyDescent="0.2">
      <c r="A64" s="173" t="s">
        <v>359</v>
      </c>
      <c r="B64" s="145"/>
      <c r="C64" s="176">
        <v>13980000</v>
      </c>
      <c r="D64" s="176"/>
      <c r="E64" s="176">
        <v>14060000</v>
      </c>
      <c r="F64" s="176"/>
      <c r="G64" s="176">
        <v>11464000</v>
      </c>
      <c r="I64" s="176">
        <v>11896000</v>
      </c>
      <c r="K64" s="176">
        <v>11185000</v>
      </c>
      <c r="M64" s="96"/>
      <c r="N64" s="148"/>
      <c r="O64" s="176"/>
      <c r="P64" s="40"/>
      <c r="Q64" s="31"/>
    </row>
    <row r="65" spans="1:17" x14ac:dyDescent="0.2">
      <c r="A65" s="173" t="s">
        <v>379</v>
      </c>
      <c r="B65" s="145"/>
      <c r="C65" s="178">
        <f t="shared" ref="C65" si="10">C64/C63</f>
        <v>651.99141871094116</v>
      </c>
      <c r="D65" s="178"/>
      <c r="E65" s="178">
        <f>E64/E63</f>
        <v>680.67389620449262</v>
      </c>
      <c r="F65" s="178"/>
      <c r="G65" s="178">
        <f>G64/G63</f>
        <v>663.00387484818691</v>
      </c>
      <c r="I65" s="178">
        <f t="shared" ref="I65:K65" si="11">I64/I63</f>
        <v>645.85482382322607</v>
      </c>
      <c r="K65" s="178">
        <f t="shared" si="11"/>
        <v>607.25337966230518</v>
      </c>
      <c r="M65" s="96"/>
      <c r="N65" s="148"/>
      <c r="O65" s="178"/>
      <c r="P65" s="40"/>
      <c r="Q65" s="31"/>
    </row>
    <row r="66" spans="1:17" x14ac:dyDescent="0.2">
      <c r="A66" s="172" t="s">
        <v>380</v>
      </c>
      <c r="B66" s="145"/>
      <c r="C66" s="170"/>
      <c r="D66" s="169"/>
      <c r="E66" s="170"/>
      <c r="F66" s="169"/>
      <c r="M66" s="75"/>
      <c r="N66" s="148"/>
      <c r="O66" s="170"/>
      <c r="P66" s="40"/>
      <c r="Q66" s="31"/>
    </row>
    <row r="67" spans="1:17" x14ac:dyDescent="0.2">
      <c r="A67" s="173" t="s">
        <v>381</v>
      </c>
      <c r="B67" s="145"/>
      <c r="C67" s="174">
        <v>22180</v>
      </c>
      <c r="D67" s="169"/>
      <c r="E67" s="174">
        <v>23401</v>
      </c>
      <c r="F67" s="169"/>
      <c r="G67" s="199">
        <v>22740</v>
      </c>
      <c r="I67" s="199">
        <v>22740</v>
      </c>
      <c r="K67" s="199">
        <v>22740</v>
      </c>
      <c r="M67" s="75"/>
      <c r="N67" s="148"/>
      <c r="O67" s="174"/>
      <c r="P67" s="40"/>
      <c r="Q67" s="31"/>
    </row>
    <row r="68" spans="1:17" x14ac:dyDescent="0.2">
      <c r="A68" s="173" t="s">
        <v>359</v>
      </c>
      <c r="B68" s="145"/>
      <c r="C68" s="176">
        <v>91663000</v>
      </c>
      <c r="D68" s="176"/>
      <c r="E68" s="176">
        <v>96125000</v>
      </c>
      <c r="F68" s="176"/>
      <c r="G68" s="176">
        <v>96556000</v>
      </c>
      <c r="I68" s="176">
        <v>113068000</v>
      </c>
      <c r="K68" s="176">
        <v>100751000</v>
      </c>
      <c r="M68" s="96"/>
      <c r="N68" s="148"/>
      <c r="O68" s="176"/>
      <c r="P68" s="40"/>
      <c r="Q68" s="31"/>
    </row>
    <row r="69" spans="1:17" x14ac:dyDescent="0.2">
      <c r="A69" s="173" t="s">
        <v>379</v>
      </c>
      <c r="B69" s="145"/>
      <c r="C69" s="178">
        <f>C68/C67</f>
        <v>4132.6871055004513</v>
      </c>
      <c r="D69" s="178"/>
      <c r="E69" s="178">
        <f>E68/E67</f>
        <v>4107.7304388701341</v>
      </c>
      <c r="F69" s="178"/>
      <c r="G69" s="178">
        <f>G68/G67</f>
        <v>4246.0861917326301</v>
      </c>
      <c r="I69" s="178">
        <f t="shared" ref="I69" si="12">I68/I67</f>
        <v>4972.207563764292</v>
      </c>
      <c r="K69" s="178">
        <f>+K68/K67</f>
        <v>4430.562884784521</v>
      </c>
      <c r="M69" s="96"/>
      <c r="N69" s="148"/>
      <c r="O69" s="178"/>
      <c r="P69" s="40"/>
      <c r="Q69" s="31"/>
    </row>
    <row r="70" spans="1:17" x14ac:dyDescent="0.2">
      <c r="A70" s="172" t="s">
        <v>382</v>
      </c>
      <c r="B70" s="145"/>
      <c r="C70" s="170"/>
      <c r="D70" s="169"/>
      <c r="E70" s="170"/>
      <c r="F70" s="169"/>
      <c r="M70" s="75"/>
      <c r="N70" s="148"/>
      <c r="O70" s="170"/>
      <c r="P70" s="40"/>
      <c r="Q70" s="31"/>
    </row>
    <row r="71" spans="1:17" x14ac:dyDescent="0.2">
      <c r="A71" s="173" t="s">
        <v>383</v>
      </c>
      <c r="B71" s="145"/>
      <c r="C71" s="174">
        <v>1020438</v>
      </c>
      <c r="D71" s="174"/>
      <c r="E71" s="174">
        <v>1366426</v>
      </c>
      <c r="F71" s="174"/>
      <c r="G71" s="174">
        <v>1286707</v>
      </c>
      <c r="I71" s="174">
        <v>1497460</v>
      </c>
      <c r="K71" s="174">
        <v>1666575</v>
      </c>
      <c r="M71" s="75"/>
      <c r="N71" s="148"/>
      <c r="O71" s="174"/>
      <c r="P71" s="40"/>
      <c r="Q71" s="31"/>
    </row>
    <row r="72" spans="1:17" x14ac:dyDescent="0.2">
      <c r="A72" s="173" t="s">
        <v>359</v>
      </c>
      <c r="B72" s="145"/>
      <c r="C72" s="176">
        <v>90818000</v>
      </c>
      <c r="D72" s="176"/>
      <c r="E72" s="176">
        <v>110195000</v>
      </c>
      <c r="F72" s="176"/>
      <c r="G72" s="176">
        <v>118377000</v>
      </c>
      <c r="I72" s="176">
        <v>123141000</v>
      </c>
      <c r="K72" s="176">
        <v>133326000</v>
      </c>
      <c r="M72" s="96"/>
      <c r="N72" s="148"/>
      <c r="O72" s="176"/>
      <c r="P72" s="40"/>
      <c r="Q72" s="31"/>
    </row>
    <row r="73" spans="1:17" x14ac:dyDescent="0.2">
      <c r="A73" s="173" t="s">
        <v>384</v>
      </c>
      <c r="B73" s="145"/>
      <c r="C73" s="178">
        <f>C72/C71</f>
        <v>88.999037668138584</v>
      </c>
      <c r="D73" s="178"/>
      <c r="E73" s="178">
        <f>E72/E71</f>
        <v>80.644689137940873</v>
      </c>
      <c r="F73" s="178"/>
      <c r="G73" s="178">
        <f>G72/G71</f>
        <v>91.999965804180746</v>
      </c>
      <c r="I73" s="178">
        <f t="shared" ref="I73:K73" si="13">I72/I71</f>
        <v>82.233248300455443</v>
      </c>
      <c r="K73" s="178">
        <f t="shared" si="13"/>
        <v>80</v>
      </c>
      <c r="M73" s="96"/>
      <c r="N73" s="148"/>
      <c r="O73" s="178"/>
      <c r="P73" s="40"/>
      <c r="Q73" s="31"/>
    </row>
    <row r="74" spans="1:17" s="40" customFormat="1" x14ac:dyDescent="0.2">
      <c r="A74" s="156"/>
      <c r="B74" s="145"/>
      <c r="C74" s="118"/>
      <c r="D74" s="118"/>
      <c r="E74" s="118"/>
      <c r="F74" s="118"/>
      <c r="M74" s="79"/>
      <c r="N74" s="148"/>
      <c r="O74" s="149"/>
    </row>
    <row r="75" spans="1:17" s="40" customFormat="1" x14ac:dyDescent="0.2">
      <c r="A75" s="167" t="s">
        <v>385</v>
      </c>
      <c r="B75" s="145"/>
      <c r="C75" s="118"/>
      <c r="D75" s="118"/>
      <c r="E75" s="118"/>
      <c r="F75" s="118"/>
      <c r="M75" s="79"/>
      <c r="N75" s="148"/>
      <c r="O75" s="149"/>
    </row>
    <row r="76" spans="1:17" s="40" customFormat="1" x14ac:dyDescent="0.2">
      <c r="A76" s="144" t="s">
        <v>386</v>
      </c>
      <c r="B76" s="145"/>
      <c r="C76" s="118"/>
      <c r="D76" s="118"/>
      <c r="E76" s="118"/>
      <c r="F76" s="118"/>
      <c r="M76" s="75"/>
      <c r="N76" s="148"/>
      <c r="O76" s="149"/>
    </row>
    <row r="77" spans="1:17" s="40" customFormat="1" x14ac:dyDescent="0.2">
      <c r="A77" s="150" t="s">
        <v>387</v>
      </c>
      <c r="B77" s="145"/>
      <c r="C77" s="118"/>
      <c r="D77" s="118"/>
      <c r="E77" s="118"/>
      <c r="F77" s="118"/>
      <c r="M77" s="75"/>
      <c r="N77" s="148"/>
      <c r="O77" s="149"/>
    </row>
    <row r="78" spans="1:17" s="40" customFormat="1" x14ac:dyDescent="0.2">
      <c r="A78" s="173" t="s">
        <v>388</v>
      </c>
      <c r="B78" s="145"/>
      <c r="C78" s="153">
        <v>79</v>
      </c>
      <c r="D78" s="118"/>
      <c r="E78" s="153">
        <v>79</v>
      </c>
      <c r="F78" s="118"/>
      <c r="G78" s="112">
        <v>79</v>
      </c>
      <c r="I78" s="112">
        <v>79</v>
      </c>
      <c r="K78" s="76">
        <v>79</v>
      </c>
      <c r="M78" s="75"/>
      <c r="N78" s="148"/>
      <c r="O78" s="153"/>
    </row>
    <row r="79" spans="1:17" s="40" customFormat="1" x14ac:dyDescent="0.2">
      <c r="A79" s="156" t="s">
        <v>359</v>
      </c>
      <c r="B79" s="145"/>
      <c r="C79" s="151">
        <v>13360000</v>
      </c>
      <c r="D79" s="118"/>
      <c r="E79" s="151">
        <v>13182000</v>
      </c>
      <c r="F79" s="118"/>
      <c r="G79" s="126">
        <v>20330000</v>
      </c>
      <c r="I79" s="126">
        <v>16474000</v>
      </c>
      <c r="K79" s="97">
        <v>16474000</v>
      </c>
      <c r="M79" s="96"/>
      <c r="N79" s="148"/>
      <c r="O79" s="151"/>
    </row>
    <row r="80" spans="1:17" s="40" customFormat="1" x14ac:dyDescent="0.2">
      <c r="A80" s="156" t="s">
        <v>389</v>
      </c>
      <c r="B80" s="145"/>
      <c r="C80" s="178">
        <f>C79/C78</f>
        <v>169113.92405063292</v>
      </c>
      <c r="D80" s="178"/>
      <c r="E80" s="178">
        <f>E79/E78</f>
        <v>166860.75949367089</v>
      </c>
      <c r="F80" s="178"/>
      <c r="G80" s="178">
        <f>G79/G78</f>
        <v>257341.77215189874</v>
      </c>
      <c r="I80" s="178">
        <f t="shared" ref="I80:K80" si="14">I79/I78</f>
        <v>208531.64556962025</v>
      </c>
      <c r="K80" s="178">
        <f t="shared" si="14"/>
        <v>208531.64556962025</v>
      </c>
      <c r="M80" s="96"/>
      <c r="N80" s="148"/>
      <c r="O80" s="178"/>
      <c r="P80" s="40" t="s">
        <v>352</v>
      </c>
    </row>
    <row r="81" spans="1:15" s="40" customFormat="1" x14ac:dyDescent="0.2">
      <c r="A81" s="150" t="s">
        <v>390</v>
      </c>
      <c r="B81" s="145"/>
      <c r="C81" s="149"/>
      <c r="D81" s="118"/>
      <c r="E81" s="118"/>
      <c r="F81" s="118"/>
      <c r="G81" s="111"/>
      <c r="I81" s="111"/>
      <c r="K81" s="63"/>
      <c r="M81" s="96"/>
      <c r="N81" s="148"/>
      <c r="O81" s="149"/>
    </row>
    <row r="82" spans="1:15" s="40" customFormat="1" x14ac:dyDescent="0.2">
      <c r="A82" s="173" t="s">
        <v>388</v>
      </c>
      <c r="B82" s="145"/>
      <c r="C82" s="153">
        <v>22</v>
      </c>
      <c r="D82" s="146"/>
      <c r="E82" s="157">
        <v>22</v>
      </c>
      <c r="F82" s="120"/>
      <c r="G82" s="112">
        <v>22</v>
      </c>
      <c r="I82" s="112">
        <v>22</v>
      </c>
      <c r="K82" s="76">
        <v>22</v>
      </c>
      <c r="M82" s="75"/>
      <c r="N82" s="148"/>
      <c r="O82" s="157"/>
    </row>
    <row r="83" spans="1:15" s="40" customFormat="1" x14ac:dyDescent="0.2">
      <c r="A83" s="156" t="s">
        <v>359</v>
      </c>
      <c r="B83" s="145"/>
      <c r="C83" s="151">
        <v>5808000</v>
      </c>
      <c r="D83" s="118"/>
      <c r="E83" s="151">
        <v>5685000</v>
      </c>
      <c r="F83" s="118"/>
      <c r="G83" s="126">
        <v>8838000</v>
      </c>
      <c r="I83" s="126">
        <v>5685000</v>
      </c>
      <c r="K83" s="97">
        <v>5685000</v>
      </c>
      <c r="M83" s="96"/>
      <c r="N83" s="148"/>
      <c r="O83" s="151"/>
    </row>
    <row r="84" spans="1:15" s="40" customFormat="1" x14ac:dyDescent="0.2">
      <c r="A84" s="156" t="s">
        <v>389</v>
      </c>
      <c r="B84" s="145"/>
      <c r="C84" s="178">
        <f>C83/C82</f>
        <v>264000</v>
      </c>
      <c r="D84" s="178"/>
      <c r="E84" s="178">
        <f>E83/E82</f>
        <v>258409.09090909091</v>
      </c>
      <c r="F84" s="178"/>
      <c r="G84" s="178">
        <f>G83/G82</f>
        <v>401727.27272727271</v>
      </c>
      <c r="I84" s="178">
        <f t="shared" ref="I84:K84" si="15">I83/I82</f>
        <v>258409.09090909091</v>
      </c>
      <c r="K84" s="178">
        <f t="shared" si="15"/>
        <v>258409.09090909091</v>
      </c>
      <c r="M84" s="96"/>
      <c r="N84" s="148"/>
      <c r="O84" s="178"/>
    </row>
    <row r="85" spans="1:15" s="40" customFormat="1" x14ac:dyDescent="0.2">
      <c r="A85" s="144" t="s">
        <v>391</v>
      </c>
      <c r="B85" s="145"/>
      <c r="C85" s="149"/>
      <c r="D85" s="118"/>
      <c r="E85" s="118"/>
      <c r="F85" s="118"/>
      <c r="G85" s="111"/>
      <c r="I85" s="111"/>
      <c r="K85" s="63"/>
      <c r="M85" s="96"/>
      <c r="N85" s="148"/>
      <c r="O85" s="149"/>
    </row>
    <row r="86" spans="1:15" s="40" customFormat="1" x14ac:dyDescent="0.2">
      <c r="A86" s="172" t="s">
        <v>392</v>
      </c>
      <c r="B86" s="145"/>
      <c r="C86" s="153">
        <v>53</v>
      </c>
      <c r="D86" s="120"/>
      <c r="E86" s="153">
        <v>56</v>
      </c>
      <c r="F86" s="118"/>
      <c r="G86" s="112">
        <v>58</v>
      </c>
      <c r="I86" s="112">
        <v>57</v>
      </c>
      <c r="K86" s="76">
        <v>57</v>
      </c>
      <c r="M86" s="75"/>
      <c r="N86" s="148"/>
      <c r="O86" s="153"/>
    </row>
    <row r="87" spans="1:15" s="40" customFormat="1" x14ac:dyDescent="0.2">
      <c r="A87" s="156" t="s">
        <v>359</v>
      </c>
      <c r="B87" s="145"/>
      <c r="C87" s="151">
        <v>15609000</v>
      </c>
      <c r="D87" s="118"/>
      <c r="E87" s="151">
        <v>16033000</v>
      </c>
      <c r="F87" s="118"/>
      <c r="G87" s="126">
        <v>16158000</v>
      </c>
      <c r="I87" s="126">
        <v>16425000</v>
      </c>
      <c r="K87" s="97">
        <v>16425000</v>
      </c>
      <c r="M87" s="96"/>
      <c r="N87" s="148"/>
      <c r="O87" s="151"/>
    </row>
    <row r="88" spans="1:15" s="40" customFormat="1" x14ac:dyDescent="0.2">
      <c r="A88" s="156" t="s">
        <v>389</v>
      </c>
      <c r="B88" s="145"/>
      <c r="C88" s="178">
        <f>C87/C86</f>
        <v>294509.43396226416</v>
      </c>
      <c r="D88" s="178"/>
      <c r="E88" s="178">
        <f>E87/E86</f>
        <v>286303.57142857142</v>
      </c>
      <c r="F88" s="178"/>
      <c r="G88" s="178">
        <f>G87/G86</f>
        <v>278586.20689655171</v>
      </c>
      <c r="I88" s="178">
        <f t="shared" ref="I88:K88" si="16">I87/I86</f>
        <v>288157.89473684208</v>
      </c>
      <c r="K88" s="178">
        <f t="shared" si="16"/>
        <v>288157.89473684208</v>
      </c>
      <c r="M88" s="96"/>
      <c r="O88" s="178"/>
    </row>
    <row r="89" spans="1:15" s="40" customFormat="1" x14ac:dyDescent="0.2">
      <c r="A89" s="150" t="s">
        <v>393</v>
      </c>
      <c r="B89" s="145"/>
      <c r="C89" s="149"/>
      <c r="D89" s="118"/>
      <c r="E89" s="149"/>
      <c r="F89" s="118"/>
      <c r="G89" s="111"/>
      <c r="I89" s="111"/>
      <c r="K89" s="63"/>
      <c r="M89" s="96"/>
      <c r="O89" s="149"/>
    </row>
    <row r="90" spans="1:15" s="40" customFormat="1" x14ac:dyDescent="0.2">
      <c r="A90" s="156" t="s">
        <v>388</v>
      </c>
      <c r="B90" s="145"/>
      <c r="C90" s="153">
        <v>20</v>
      </c>
      <c r="D90" s="120"/>
      <c r="E90" s="153">
        <v>20</v>
      </c>
      <c r="F90" s="118"/>
      <c r="G90" s="112">
        <v>20</v>
      </c>
      <c r="I90" s="112">
        <v>20</v>
      </c>
      <c r="K90" s="76">
        <v>20</v>
      </c>
      <c r="M90" s="75"/>
      <c r="O90" s="153"/>
    </row>
    <row r="91" spans="1:15" s="40" customFormat="1" x14ac:dyDescent="0.2">
      <c r="A91" s="156" t="s">
        <v>359</v>
      </c>
      <c r="B91" s="145"/>
      <c r="C91" s="151">
        <v>3153000</v>
      </c>
      <c r="D91" s="118"/>
      <c r="E91" s="151">
        <v>2942000</v>
      </c>
      <c r="F91" s="118"/>
      <c r="G91" s="126">
        <v>3264000</v>
      </c>
      <c r="I91" s="126">
        <v>3000000</v>
      </c>
      <c r="K91" s="97">
        <v>3000000</v>
      </c>
      <c r="M91" s="96"/>
      <c r="O91" s="151"/>
    </row>
    <row r="92" spans="1:15" s="40" customFormat="1" x14ac:dyDescent="0.2">
      <c r="A92" s="156" t="s">
        <v>389</v>
      </c>
      <c r="B92" s="145"/>
      <c r="C92" s="178">
        <f>C91/C90</f>
        <v>157650</v>
      </c>
      <c r="D92" s="178"/>
      <c r="E92" s="178">
        <f>E91/E90</f>
        <v>147100</v>
      </c>
      <c r="F92" s="178"/>
      <c r="G92" s="178">
        <f>G91/G90</f>
        <v>163200</v>
      </c>
      <c r="I92" s="178">
        <f t="shared" ref="I92:K92" si="17">I91/I90</f>
        <v>150000</v>
      </c>
      <c r="K92" s="178">
        <f t="shared" si="17"/>
        <v>150000</v>
      </c>
      <c r="M92" s="96"/>
      <c r="O92" s="178"/>
    </row>
    <row r="93" spans="1:15" s="40" customFormat="1" x14ac:dyDescent="0.2">
      <c r="A93" s="150" t="s">
        <v>394</v>
      </c>
      <c r="B93" s="145"/>
      <c r="C93" s="149"/>
      <c r="D93" s="118"/>
      <c r="E93" s="149"/>
      <c r="F93" s="118"/>
      <c r="G93" s="111"/>
      <c r="I93" s="111"/>
      <c r="K93" s="63"/>
      <c r="M93" s="96"/>
      <c r="O93" s="149"/>
    </row>
    <row r="94" spans="1:15" s="40" customFormat="1" x14ac:dyDescent="0.2">
      <c r="A94" s="156" t="s">
        <v>359</v>
      </c>
      <c r="B94" s="145"/>
      <c r="C94" s="151">
        <v>3442000</v>
      </c>
      <c r="D94" s="118"/>
      <c r="E94" s="151">
        <v>3295000</v>
      </c>
      <c r="F94" s="118"/>
      <c r="G94" s="126">
        <v>3562000</v>
      </c>
      <c r="I94" s="126">
        <v>3559000</v>
      </c>
      <c r="K94" s="97">
        <v>3559000</v>
      </c>
      <c r="M94" s="96"/>
      <c r="O94" s="151"/>
    </row>
    <row r="95" spans="1:15" s="40" customFormat="1" x14ac:dyDescent="0.2">
      <c r="A95" s="144" t="s">
        <v>395</v>
      </c>
      <c r="B95" s="145"/>
      <c r="C95" s="149"/>
      <c r="D95" s="118"/>
      <c r="E95" s="149"/>
      <c r="F95" s="118"/>
      <c r="G95" s="111"/>
      <c r="I95" s="111"/>
      <c r="K95" s="63"/>
      <c r="M95" s="96"/>
      <c r="O95" s="149"/>
    </row>
    <row r="96" spans="1:15" s="40" customFormat="1" x14ac:dyDescent="0.2">
      <c r="A96" s="150" t="s">
        <v>396</v>
      </c>
      <c r="B96" s="145"/>
      <c r="C96" s="149"/>
      <c r="D96" s="118"/>
      <c r="E96" s="149"/>
      <c r="F96" s="118"/>
      <c r="G96" s="111"/>
      <c r="I96" s="111"/>
      <c r="K96" s="63"/>
      <c r="M96" s="75"/>
      <c r="O96" s="149"/>
    </row>
    <row r="97" spans="1:15" s="40" customFormat="1" x14ac:dyDescent="0.2">
      <c r="A97" s="173" t="s">
        <v>397</v>
      </c>
      <c r="B97" s="145"/>
      <c r="C97" s="153">
        <v>189</v>
      </c>
      <c r="D97" s="120"/>
      <c r="E97" s="153">
        <v>175</v>
      </c>
      <c r="F97" s="118"/>
      <c r="G97" s="112">
        <v>178</v>
      </c>
      <c r="I97" s="112">
        <v>175</v>
      </c>
      <c r="K97" s="76">
        <v>175</v>
      </c>
      <c r="M97" s="75"/>
      <c r="O97" s="153"/>
    </row>
    <row r="98" spans="1:15" s="40" customFormat="1" x14ac:dyDescent="0.2">
      <c r="A98" s="156" t="s">
        <v>359</v>
      </c>
      <c r="B98" s="145"/>
      <c r="C98" s="151">
        <v>29289000</v>
      </c>
      <c r="D98" s="118"/>
      <c r="E98" s="151">
        <v>26868000</v>
      </c>
      <c r="F98" s="118"/>
      <c r="G98" s="126">
        <v>28143000</v>
      </c>
      <c r="I98" s="126">
        <v>28140000</v>
      </c>
      <c r="K98" s="97">
        <v>28140000</v>
      </c>
      <c r="M98" s="96"/>
      <c r="O98" s="151"/>
    </row>
    <row r="99" spans="1:15" s="40" customFormat="1" x14ac:dyDescent="0.2">
      <c r="A99" s="156" t="s">
        <v>398</v>
      </c>
      <c r="B99" s="145"/>
      <c r="C99" s="178">
        <f>C98/C97</f>
        <v>154968.25396825396</v>
      </c>
      <c r="D99" s="178"/>
      <c r="E99" s="178">
        <f>E98/E97</f>
        <v>153531.42857142858</v>
      </c>
      <c r="F99" s="178"/>
      <c r="G99" s="178">
        <f>G98/G97</f>
        <v>158106.74157303371</v>
      </c>
      <c r="I99" s="178">
        <f t="shared" ref="I99:K99" si="18">I98/I97</f>
        <v>160800</v>
      </c>
      <c r="K99" s="178">
        <f t="shared" si="18"/>
        <v>160800</v>
      </c>
      <c r="M99" s="96"/>
      <c r="O99" s="178"/>
    </row>
    <row r="100" spans="1:15" s="40" customFormat="1" x14ac:dyDescent="0.2">
      <c r="A100" s="150" t="s">
        <v>399</v>
      </c>
      <c r="B100" s="145"/>
      <c r="C100" s="149"/>
      <c r="D100" s="118"/>
      <c r="E100" s="149"/>
      <c r="F100" s="118"/>
      <c r="G100" s="111"/>
      <c r="I100" s="111"/>
      <c r="K100" s="76"/>
      <c r="M100" s="96"/>
      <c r="O100" s="149"/>
    </row>
    <row r="101" spans="1:15" s="40" customFormat="1" x14ac:dyDescent="0.2">
      <c r="A101" s="173" t="s">
        <v>388</v>
      </c>
      <c r="B101" s="145"/>
      <c r="C101" s="153">
        <v>22</v>
      </c>
      <c r="D101" s="120"/>
      <c r="E101" s="153">
        <v>22</v>
      </c>
      <c r="F101" s="120"/>
      <c r="G101" s="112">
        <v>22</v>
      </c>
      <c r="H101" s="77"/>
      <c r="I101" s="112">
        <v>22</v>
      </c>
      <c r="J101" s="77"/>
      <c r="K101" s="76">
        <v>22</v>
      </c>
      <c r="M101" s="75"/>
      <c r="O101" s="153"/>
    </row>
    <row r="102" spans="1:15" s="40" customFormat="1" x14ac:dyDescent="0.2">
      <c r="A102" s="156" t="s">
        <v>359</v>
      </c>
      <c r="B102" s="145"/>
      <c r="C102" s="151">
        <v>1576000</v>
      </c>
      <c r="D102" s="118"/>
      <c r="E102" s="151">
        <v>1529000</v>
      </c>
      <c r="F102" s="118"/>
      <c r="G102" s="126">
        <v>1515000</v>
      </c>
      <c r="I102" s="126">
        <v>1529000</v>
      </c>
      <c r="K102" s="97">
        <v>1529000</v>
      </c>
      <c r="M102" s="96"/>
      <c r="O102" s="151"/>
    </row>
    <row r="103" spans="1:15" s="40" customFormat="1" x14ac:dyDescent="0.2">
      <c r="A103" s="156" t="s">
        <v>389</v>
      </c>
      <c r="B103" s="145"/>
      <c r="C103" s="178">
        <f>C102/C101</f>
        <v>71636.363636363632</v>
      </c>
      <c r="D103" s="178"/>
      <c r="E103" s="178">
        <f>E102/E101</f>
        <v>69500</v>
      </c>
      <c r="F103" s="178"/>
      <c r="G103" s="178">
        <f>G102/G101</f>
        <v>68863.636363636368</v>
      </c>
      <c r="I103" s="178">
        <f t="shared" ref="I103:K103" si="19">I102/I101</f>
        <v>69500</v>
      </c>
      <c r="K103" s="178">
        <f t="shared" si="19"/>
        <v>69500</v>
      </c>
      <c r="M103" s="96"/>
      <c r="O103" s="178"/>
    </row>
    <row r="104" spans="1:15" s="40" customFormat="1" x14ac:dyDescent="0.2">
      <c r="A104" s="150" t="s">
        <v>400</v>
      </c>
      <c r="B104" s="145"/>
      <c r="C104" s="149"/>
      <c r="D104" s="118"/>
      <c r="E104" s="149"/>
      <c r="F104" s="118"/>
      <c r="G104" s="111"/>
      <c r="I104" s="111"/>
      <c r="K104" s="76"/>
      <c r="M104" s="75"/>
      <c r="O104" s="149"/>
    </row>
    <row r="105" spans="1:15" s="40" customFormat="1" x14ac:dyDescent="0.2">
      <c r="A105" s="173" t="s">
        <v>388</v>
      </c>
      <c r="B105" s="145"/>
      <c r="C105" s="153">
        <v>5</v>
      </c>
      <c r="D105" s="120"/>
      <c r="E105" s="153">
        <v>5</v>
      </c>
      <c r="F105" s="120"/>
      <c r="G105" s="112">
        <v>5</v>
      </c>
      <c r="H105" s="77"/>
      <c r="I105" s="112">
        <v>5</v>
      </c>
      <c r="K105" s="76">
        <v>5</v>
      </c>
      <c r="M105" s="75"/>
      <c r="O105" s="153"/>
    </row>
    <row r="106" spans="1:15" s="40" customFormat="1" x14ac:dyDescent="0.2">
      <c r="A106" s="156" t="s">
        <v>359</v>
      </c>
      <c r="B106" s="145"/>
      <c r="C106" s="151">
        <v>662000</v>
      </c>
      <c r="D106" s="118"/>
      <c r="E106" s="151">
        <v>624000</v>
      </c>
      <c r="F106" s="118"/>
      <c r="G106" s="126">
        <v>635000</v>
      </c>
      <c r="I106" s="126">
        <v>624000</v>
      </c>
      <c r="K106" s="97">
        <v>624000</v>
      </c>
      <c r="M106" s="96"/>
      <c r="O106" s="151"/>
    </row>
    <row r="107" spans="1:15" s="40" customFormat="1" x14ac:dyDescent="0.2">
      <c r="A107" s="156" t="s">
        <v>389</v>
      </c>
      <c r="B107" s="145"/>
      <c r="C107" s="178">
        <f>C106/C105</f>
        <v>132400</v>
      </c>
      <c r="D107" s="178"/>
      <c r="E107" s="178">
        <f>E106/E105</f>
        <v>124800</v>
      </c>
      <c r="F107" s="178"/>
      <c r="G107" s="178">
        <f>G106/G105</f>
        <v>127000</v>
      </c>
      <c r="I107" s="178">
        <f t="shared" ref="I107:K107" si="20">I106/I105</f>
        <v>124800</v>
      </c>
      <c r="K107" s="178">
        <f t="shared" si="20"/>
        <v>124800</v>
      </c>
      <c r="M107" s="96"/>
      <c r="O107" s="178"/>
    </row>
    <row r="108" spans="1:15" s="40" customFormat="1" x14ac:dyDescent="0.2">
      <c r="A108" s="156"/>
      <c r="B108" s="145"/>
      <c r="C108" s="118"/>
      <c r="D108" s="118"/>
      <c r="E108" s="118"/>
      <c r="F108" s="118"/>
      <c r="G108" s="111"/>
      <c r="I108" s="111"/>
      <c r="K108" s="76"/>
      <c r="M108" s="96"/>
      <c r="O108" s="149"/>
    </row>
    <row r="109" spans="1:15" s="40" customFormat="1" x14ac:dyDescent="0.2">
      <c r="A109" s="200" t="s">
        <v>401</v>
      </c>
      <c r="B109" s="145"/>
      <c r="C109" s="118"/>
      <c r="D109" s="118"/>
      <c r="E109" s="118"/>
      <c r="F109" s="118"/>
      <c r="G109" s="111"/>
      <c r="I109" s="111"/>
      <c r="K109" s="77"/>
      <c r="M109" s="96"/>
      <c r="O109" s="149"/>
    </row>
    <row r="110" spans="1:15" s="40" customFormat="1" x14ac:dyDescent="0.2">
      <c r="A110" s="201" t="s">
        <v>402</v>
      </c>
      <c r="B110" s="145"/>
      <c r="C110" s="153">
        <v>41</v>
      </c>
      <c r="D110" s="120"/>
      <c r="E110" s="153">
        <v>41</v>
      </c>
      <c r="F110" s="120"/>
      <c r="G110" s="112">
        <v>41</v>
      </c>
      <c r="H110" s="77"/>
      <c r="I110" s="159">
        <v>41</v>
      </c>
      <c r="J110" s="74"/>
      <c r="K110" s="78">
        <v>42</v>
      </c>
      <c r="M110" s="75"/>
      <c r="O110" s="153"/>
    </row>
    <row r="111" spans="1:15" s="40" customFormat="1" x14ac:dyDescent="0.2">
      <c r="A111" s="150" t="s">
        <v>359</v>
      </c>
      <c r="B111" s="145"/>
      <c r="C111" s="151">
        <f>17371000-1089000</f>
        <v>16282000</v>
      </c>
      <c r="D111" s="118"/>
      <c r="E111" s="151">
        <f>17761000-1089000</f>
        <v>16672000</v>
      </c>
      <c r="F111" s="118"/>
      <c r="G111" s="126">
        <v>15265000</v>
      </c>
      <c r="I111" s="160">
        <v>15961000</v>
      </c>
      <c r="J111" s="74"/>
      <c r="K111" s="202">
        <v>15961000</v>
      </c>
      <c r="M111" s="96"/>
      <c r="O111" s="151"/>
    </row>
    <row r="112" spans="1:15" s="40" customFormat="1" x14ac:dyDescent="0.2">
      <c r="A112" s="156" t="s">
        <v>389</v>
      </c>
      <c r="B112" s="145"/>
      <c r="C112" s="178">
        <f>C111/C110</f>
        <v>397121.95121951221</v>
      </c>
      <c r="D112" s="178"/>
      <c r="E112" s="178">
        <f>E111/E110</f>
        <v>406634.14634146343</v>
      </c>
      <c r="F112" s="178"/>
      <c r="G112" s="178">
        <f>G111/G110</f>
        <v>372317.07317073172</v>
      </c>
      <c r="I112" s="1611">
        <f t="shared" ref="I112:K112" si="21">I111/I110</f>
        <v>389292.68292682926</v>
      </c>
      <c r="J112" s="74"/>
      <c r="K112" s="1611">
        <f t="shared" si="21"/>
        <v>380023.80952380953</v>
      </c>
      <c r="M112" s="96"/>
      <c r="O112" s="178"/>
    </row>
    <row r="113" spans="1:15" s="40" customFormat="1" x14ac:dyDescent="0.2">
      <c r="A113" s="203" t="s">
        <v>403</v>
      </c>
      <c r="B113" s="204"/>
      <c r="C113" s="149"/>
      <c r="D113" s="118"/>
      <c r="E113" s="118"/>
      <c r="F113" s="118"/>
      <c r="I113" s="74"/>
      <c r="J113" s="74"/>
      <c r="K113" s="78"/>
      <c r="M113" s="205"/>
      <c r="O113" s="149"/>
    </row>
    <row r="114" spans="1:15" s="40" customFormat="1" x14ac:dyDescent="0.2">
      <c r="A114" s="206" t="s">
        <v>404</v>
      </c>
      <c r="B114" s="204"/>
      <c r="C114" s="151">
        <f>2486000+1089000</f>
        <v>3575000</v>
      </c>
      <c r="D114" s="118"/>
      <c r="E114" s="151">
        <f>1199560+1089000</f>
        <v>2288560</v>
      </c>
      <c r="F114" s="118"/>
      <c r="G114" s="126">
        <v>2496000</v>
      </c>
      <c r="I114" s="160">
        <v>4040000</v>
      </c>
      <c r="J114" s="74"/>
      <c r="K114" s="202">
        <v>2240000</v>
      </c>
      <c r="M114" s="205"/>
      <c r="O114" s="151"/>
    </row>
    <row r="115" spans="1:15" s="40" customFormat="1" x14ac:dyDescent="0.2">
      <c r="A115" s="207" t="s">
        <v>405</v>
      </c>
      <c r="B115" s="204"/>
      <c r="C115" s="208">
        <v>2190000</v>
      </c>
      <c r="D115" s="208"/>
      <c r="E115" s="208">
        <v>1529178</v>
      </c>
      <c r="F115" s="208"/>
      <c r="G115" s="208">
        <v>1724000</v>
      </c>
      <c r="I115" s="208">
        <v>1791000</v>
      </c>
      <c r="J115" s="74"/>
      <c r="K115" s="202">
        <v>1791000</v>
      </c>
      <c r="M115" s="205"/>
      <c r="O115" s="151"/>
    </row>
    <row r="116" spans="1:15" s="40" customFormat="1" x14ac:dyDescent="0.2">
      <c r="A116" s="207" t="s">
        <v>406</v>
      </c>
      <c r="B116" s="204"/>
      <c r="C116" s="151">
        <v>737000</v>
      </c>
      <c r="D116" s="118"/>
      <c r="E116" s="151">
        <v>766065</v>
      </c>
      <c r="F116" s="118"/>
      <c r="G116" s="126">
        <v>688000</v>
      </c>
      <c r="I116" s="160">
        <v>688000</v>
      </c>
      <c r="J116" s="74"/>
      <c r="K116" s="202">
        <f>688000+1800000+750000</f>
        <v>3238000</v>
      </c>
      <c r="M116" s="205"/>
      <c r="O116" s="151"/>
    </row>
    <row r="117" spans="1:15" s="40" customFormat="1" x14ac:dyDescent="0.2">
      <c r="A117" s="206" t="s">
        <v>359</v>
      </c>
      <c r="B117" s="204"/>
      <c r="C117" s="208">
        <f>SUM(C114:C116)</f>
        <v>6502000</v>
      </c>
      <c r="D117" s="208" t="s">
        <v>352</v>
      </c>
      <c r="E117" s="208">
        <f>SUM(E114:E116)</f>
        <v>4583803</v>
      </c>
      <c r="F117" s="208"/>
      <c r="G117" s="208">
        <f>SUM(G114:G116)</f>
        <v>4908000</v>
      </c>
      <c r="H117" s="98"/>
      <c r="I117" s="209">
        <f>SUM(I114:I116)</f>
        <v>6519000</v>
      </c>
      <c r="J117" s="97"/>
      <c r="K117" s="209">
        <f>SUM(K114:K116)</f>
        <v>7269000</v>
      </c>
      <c r="M117" s="205"/>
      <c r="O117" s="208"/>
    </row>
    <row r="118" spans="1:15" s="40" customFormat="1" x14ac:dyDescent="0.2">
      <c r="A118" s="206" t="s">
        <v>407</v>
      </c>
      <c r="B118" s="204"/>
      <c r="C118" s="208">
        <f>+C117+C111</f>
        <v>22784000</v>
      </c>
      <c r="D118" s="208"/>
      <c r="E118" s="208">
        <f>+E117+E111</f>
        <v>21255803</v>
      </c>
      <c r="F118" s="208"/>
      <c r="G118" s="208">
        <f>+G117+G111</f>
        <v>20173000</v>
      </c>
      <c r="I118" s="208">
        <f>+I117+I111</f>
        <v>22480000</v>
      </c>
      <c r="J118" s="74"/>
      <c r="K118" s="208">
        <f t="shared" ref="K118" si="22">+K117+K111</f>
        <v>23230000</v>
      </c>
      <c r="M118" s="205"/>
      <c r="O118" s="208"/>
    </row>
    <row r="119" spans="1:15" s="40" customFormat="1" x14ac:dyDescent="0.2">
      <c r="A119" s="203" t="s">
        <v>408</v>
      </c>
      <c r="B119" s="204"/>
      <c r="C119" s="208"/>
      <c r="D119" s="118"/>
      <c r="E119" s="118"/>
      <c r="F119" s="118"/>
      <c r="K119" s="77"/>
      <c r="M119" s="205"/>
      <c r="O119" s="149"/>
    </row>
    <row r="120" spans="1:15" s="40" customFormat="1" x14ac:dyDescent="0.2">
      <c r="A120" s="210" t="s">
        <v>409</v>
      </c>
      <c r="B120" s="145"/>
      <c r="C120" s="153">
        <v>4464</v>
      </c>
      <c r="D120" s="118"/>
      <c r="E120" s="153">
        <v>5206</v>
      </c>
      <c r="F120" s="118"/>
      <c r="G120" s="112">
        <v>4464</v>
      </c>
      <c r="I120" s="153">
        <v>5206</v>
      </c>
      <c r="K120" s="153">
        <v>5206</v>
      </c>
      <c r="M120" s="75"/>
      <c r="O120" s="153"/>
    </row>
    <row r="121" spans="1:15" s="40" customFormat="1" x14ac:dyDescent="0.2">
      <c r="A121" s="210" t="s">
        <v>410</v>
      </c>
      <c r="B121" s="145"/>
      <c r="C121" s="153">
        <v>3388</v>
      </c>
      <c r="D121" s="118"/>
      <c r="E121" s="153">
        <v>5650</v>
      </c>
      <c r="F121" s="118"/>
      <c r="G121" s="112">
        <v>3388</v>
      </c>
      <c r="I121" s="153">
        <v>5650</v>
      </c>
      <c r="K121" s="153">
        <v>5650</v>
      </c>
      <c r="M121" s="75"/>
      <c r="O121" s="153"/>
    </row>
    <row r="122" spans="1:15" s="40" customFormat="1" x14ac:dyDescent="0.2">
      <c r="A122" s="210" t="s">
        <v>411</v>
      </c>
      <c r="B122" s="145"/>
      <c r="C122" s="153">
        <v>3548</v>
      </c>
      <c r="D122" s="120"/>
      <c r="E122" s="153">
        <v>3949</v>
      </c>
      <c r="F122" s="120"/>
      <c r="G122" s="112">
        <v>3548</v>
      </c>
      <c r="I122" s="153">
        <v>3949</v>
      </c>
      <c r="K122" s="153">
        <v>3949</v>
      </c>
      <c r="M122" s="75"/>
      <c r="O122" s="153"/>
    </row>
    <row r="123" spans="1:15" s="40" customFormat="1" x14ac:dyDescent="0.2">
      <c r="A123" s="210" t="s">
        <v>412</v>
      </c>
      <c r="B123" s="145"/>
      <c r="C123" s="153">
        <v>2827</v>
      </c>
      <c r="D123" s="118"/>
      <c r="E123" s="153">
        <v>2866</v>
      </c>
      <c r="F123" s="118"/>
      <c r="G123" s="112">
        <v>2827</v>
      </c>
      <c r="I123" s="153">
        <v>2866</v>
      </c>
      <c r="K123" s="153">
        <v>2866</v>
      </c>
      <c r="M123" s="75"/>
      <c r="O123" s="153"/>
    </row>
    <row r="124" spans="1:15" s="40" customFormat="1" x14ac:dyDescent="0.2">
      <c r="A124" s="150"/>
      <c r="B124" s="145"/>
      <c r="C124" s="118"/>
      <c r="D124" s="118"/>
      <c r="E124" s="118"/>
      <c r="F124" s="118"/>
      <c r="M124" s="96"/>
      <c r="O124" s="149"/>
    </row>
    <row r="125" spans="1:15" s="37" customFormat="1" x14ac:dyDescent="0.2">
      <c r="A125" s="139" t="s">
        <v>194</v>
      </c>
      <c r="B125" s="140"/>
      <c r="C125" s="141"/>
      <c r="D125" s="141"/>
      <c r="E125" s="141"/>
      <c r="F125" s="141"/>
      <c r="M125" s="86"/>
      <c r="O125" s="147"/>
    </row>
    <row r="126" spans="1:15" s="37" customFormat="1" x14ac:dyDescent="0.2">
      <c r="A126" s="139" t="s">
        <v>413</v>
      </c>
      <c r="B126" s="140"/>
      <c r="C126" s="141"/>
      <c r="D126" s="141"/>
      <c r="E126" s="141"/>
      <c r="F126" s="141"/>
      <c r="M126" s="86"/>
      <c r="O126" s="147"/>
    </row>
    <row r="127" spans="1:15" s="37" customFormat="1" x14ac:dyDescent="0.2">
      <c r="A127" s="211" t="s">
        <v>332</v>
      </c>
      <c r="B127" s="140"/>
      <c r="C127" s="153">
        <v>651</v>
      </c>
      <c r="D127" s="141"/>
      <c r="E127" s="153">
        <v>647</v>
      </c>
      <c r="F127" s="141"/>
      <c r="G127" s="212"/>
      <c r="I127" s="153">
        <v>645</v>
      </c>
      <c r="K127" s="89"/>
      <c r="M127" s="103"/>
      <c r="O127" s="153"/>
    </row>
    <row r="128" spans="1:15" s="37" customFormat="1" x14ac:dyDescent="0.2">
      <c r="A128" s="211" t="s">
        <v>256</v>
      </c>
      <c r="B128" s="140"/>
      <c r="C128" s="213">
        <f>C127/C147</f>
        <v>9.9739543434962469E-2</v>
      </c>
      <c r="D128" s="213" t="s">
        <v>352</v>
      </c>
      <c r="E128" s="213">
        <f>E127/E147</f>
        <v>9.7675120772946863E-2</v>
      </c>
      <c r="F128" s="141"/>
      <c r="G128" s="214"/>
      <c r="I128" s="213">
        <f>I127/I147</f>
        <v>9.6759675967596756E-2</v>
      </c>
      <c r="K128" s="215"/>
      <c r="M128" s="216"/>
      <c r="O128" s="213"/>
    </row>
    <row r="129" spans="1:15" s="37" customFormat="1" x14ac:dyDescent="0.2">
      <c r="A129" s="211" t="s">
        <v>257</v>
      </c>
      <c r="B129" s="140"/>
      <c r="C129" s="153">
        <v>2548</v>
      </c>
      <c r="D129" s="141"/>
      <c r="E129" s="153">
        <v>2551</v>
      </c>
      <c r="F129" s="141"/>
      <c r="G129" s="212"/>
      <c r="I129" s="153">
        <v>2548</v>
      </c>
      <c r="K129" s="89"/>
      <c r="M129" s="103"/>
      <c r="O129" s="153"/>
    </row>
    <row r="130" spans="1:15" s="37" customFormat="1" x14ac:dyDescent="0.2">
      <c r="A130" s="211" t="s">
        <v>258</v>
      </c>
      <c r="B130" s="140"/>
      <c r="C130" s="213">
        <f>C129/C147</f>
        <v>0.39037842806802514</v>
      </c>
      <c r="D130" s="213" t="s">
        <v>352</v>
      </c>
      <c r="E130" s="213">
        <f>E129/E147</f>
        <v>0.38511473429951693</v>
      </c>
      <c r="F130" s="141"/>
      <c r="G130" s="214"/>
      <c r="I130" s="213">
        <f>I129/I147</f>
        <v>0.38223822382238226</v>
      </c>
      <c r="K130" s="215"/>
      <c r="M130" s="216"/>
      <c r="O130" s="213"/>
    </row>
    <row r="131" spans="1:15" s="37" customFormat="1" x14ac:dyDescent="0.2">
      <c r="A131" s="211" t="s">
        <v>259</v>
      </c>
      <c r="B131" s="140"/>
      <c r="C131" s="153">
        <v>3199</v>
      </c>
      <c r="D131" s="141"/>
      <c r="E131" s="153">
        <v>3198</v>
      </c>
      <c r="F131" s="141"/>
      <c r="G131" s="212"/>
      <c r="I131" s="153">
        <f>I127+I129</f>
        <v>3193</v>
      </c>
      <c r="K131" s="89"/>
      <c r="M131" s="103"/>
      <c r="O131" s="153"/>
    </row>
    <row r="132" spans="1:15" s="37" customFormat="1" x14ac:dyDescent="0.2">
      <c r="A132" s="211" t="s">
        <v>260</v>
      </c>
      <c r="B132" s="140"/>
      <c r="C132" s="213">
        <f>C131/C147</f>
        <v>0.49011797150298758</v>
      </c>
      <c r="D132" s="213"/>
      <c r="E132" s="213">
        <f>E131/E147</f>
        <v>0.48278985507246375</v>
      </c>
      <c r="F132" s="141"/>
      <c r="G132" s="214"/>
      <c r="I132" s="213">
        <f>I131/I147</f>
        <v>0.47899789978997898</v>
      </c>
      <c r="K132" s="215"/>
      <c r="M132" s="216"/>
      <c r="O132" s="213"/>
    </row>
    <row r="133" spans="1:15" s="37" customFormat="1" x14ac:dyDescent="0.2">
      <c r="A133" s="139"/>
      <c r="B133" s="140"/>
      <c r="C133" s="147"/>
      <c r="D133" s="141"/>
      <c r="E133" s="147"/>
      <c r="F133" s="141"/>
      <c r="G133" s="141"/>
      <c r="I133" s="141"/>
      <c r="M133" s="86"/>
      <c r="O133" s="147"/>
    </row>
    <row r="134" spans="1:15" s="37" customFormat="1" x14ac:dyDescent="0.2">
      <c r="A134" s="139" t="s">
        <v>195</v>
      </c>
      <c r="B134" s="140"/>
      <c r="C134" s="147"/>
      <c r="D134" s="141"/>
      <c r="E134" s="147"/>
      <c r="F134" s="141"/>
      <c r="M134" s="86"/>
      <c r="O134" s="147"/>
    </row>
    <row r="135" spans="1:15" s="40" customFormat="1" x14ac:dyDescent="0.2">
      <c r="A135" s="211" t="s">
        <v>196</v>
      </c>
      <c r="B135" s="145"/>
      <c r="C135" s="149"/>
      <c r="D135" s="118"/>
      <c r="E135" s="149"/>
      <c r="F135" s="118"/>
      <c r="G135" s="153"/>
      <c r="I135" s="153"/>
      <c r="M135" s="79"/>
      <c r="O135" s="149"/>
    </row>
    <row r="136" spans="1:15" s="40" customFormat="1" x14ac:dyDescent="0.2">
      <c r="A136" s="144" t="s">
        <v>197</v>
      </c>
      <c r="B136" s="145"/>
      <c r="C136" s="153">
        <v>4698</v>
      </c>
      <c r="D136" s="118"/>
      <c r="E136" s="153">
        <v>4812</v>
      </c>
      <c r="F136" s="118"/>
      <c r="G136" s="153">
        <v>4789</v>
      </c>
      <c r="I136" s="153">
        <v>4808</v>
      </c>
      <c r="K136" s="77">
        <v>4812</v>
      </c>
      <c r="M136" s="75"/>
      <c r="O136" s="153"/>
    </row>
    <row r="137" spans="1:15" s="40" customFormat="1" x14ac:dyDescent="0.2">
      <c r="A137" s="144" t="s">
        <v>261</v>
      </c>
      <c r="B137" s="145"/>
      <c r="C137" s="217">
        <v>1512</v>
      </c>
      <c r="D137" s="217"/>
      <c r="E137" s="217">
        <v>1501</v>
      </c>
      <c r="F137" s="217"/>
      <c r="G137" s="217">
        <v>1490</v>
      </c>
      <c r="I137" s="217">
        <v>1562</v>
      </c>
      <c r="K137" s="77">
        <v>1564</v>
      </c>
      <c r="M137" s="75"/>
      <c r="O137" s="153"/>
    </row>
    <row r="138" spans="1:15" s="40" customFormat="1" x14ac:dyDescent="0.2">
      <c r="A138" s="144" t="s">
        <v>262</v>
      </c>
      <c r="B138" s="145"/>
      <c r="C138" s="217">
        <v>317</v>
      </c>
      <c r="D138" s="217"/>
      <c r="E138" s="217">
        <v>311</v>
      </c>
      <c r="F138" s="217"/>
      <c r="G138" s="217">
        <v>307</v>
      </c>
      <c r="I138" s="217">
        <v>296</v>
      </c>
      <c r="K138" s="77">
        <v>298</v>
      </c>
      <c r="M138" s="75"/>
      <c r="O138" s="153"/>
    </row>
    <row r="139" spans="1:15" s="40" customFormat="1" x14ac:dyDescent="0.2">
      <c r="A139" s="144" t="s">
        <v>198</v>
      </c>
      <c r="B139" s="145"/>
      <c r="C139" s="217">
        <f>SUM(C136:C138)</f>
        <v>6527</v>
      </c>
      <c r="D139" s="217"/>
      <c r="E139" s="217">
        <f>SUM(E136:E138)</f>
        <v>6624</v>
      </c>
      <c r="F139" s="217"/>
      <c r="G139" s="217">
        <f>SUM(G136:G138)</f>
        <v>6586</v>
      </c>
      <c r="I139" s="217">
        <f>SUM(I136:I138)</f>
        <v>6666</v>
      </c>
      <c r="K139" s="77">
        <f>SUM(K136:K138)</f>
        <v>6674</v>
      </c>
      <c r="M139" s="75"/>
      <c r="O139" s="218"/>
    </row>
    <row r="140" spans="1:15" s="40" customFormat="1" x14ac:dyDescent="0.2">
      <c r="A140" s="211" t="s">
        <v>199</v>
      </c>
      <c r="B140" s="145"/>
      <c r="C140" s="149"/>
      <c r="D140" s="118"/>
      <c r="E140" s="149"/>
      <c r="F140" s="118"/>
      <c r="M140" s="79"/>
      <c r="O140" s="149"/>
    </row>
    <row r="141" spans="1:15" s="40" customFormat="1" x14ac:dyDescent="0.2">
      <c r="A141" s="144" t="s">
        <v>342</v>
      </c>
      <c r="B141" s="145"/>
      <c r="C141" s="219">
        <v>393</v>
      </c>
      <c r="D141" s="118"/>
      <c r="E141" s="219">
        <v>389</v>
      </c>
      <c r="F141" s="118"/>
      <c r="G141" s="219">
        <v>384</v>
      </c>
      <c r="I141" s="219">
        <v>368</v>
      </c>
      <c r="K141" s="77">
        <v>371</v>
      </c>
      <c r="M141" s="75"/>
      <c r="O141" s="220"/>
    </row>
    <row r="142" spans="1:15" s="40" customFormat="1" x14ac:dyDescent="0.2">
      <c r="A142" s="144" t="s">
        <v>344</v>
      </c>
      <c r="B142" s="145"/>
      <c r="C142" s="219">
        <v>5680</v>
      </c>
      <c r="D142" s="118"/>
      <c r="E142" s="219">
        <v>5756</v>
      </c>
      <c r="F142" s="118"/>
      <c r="G142" s="219">
        <v>5733</v>
      </c>
      <c r="I142" s="219">
        <v>5779</v>
      </c>
      <c r="K142" s="77">
        <v>5781</v>
      </c>
      <c r="M142" s="75"/>
      <c r="O142" s="220"/>
    </row>
    <row r="143" spans="1:15" s="40" customFormat="1" x14ac:dyDescent="0.2">
      <c r="A143" s="144" t="s">
        <v>385</v>
      </c>
      <c r="B143" s="145"/>
      <c r="C143" s="219">
        <v>24</v>
      </c>
      <c r="D143" s="118"/>
      <c r="E143" s="219">
        <v>23</v>
      </c>
      <c r="F143" s="118"/>
      <c r="G143" s="219">
        <v>22</v>
      </c>
      <c r="I143" s="219">
        <v>23</v>
      </c>
      <c r="K143" s="77">
        <v>24</v>
      </c>
      <c r="M143" s="75"/>
      <c r="O143" s="220"/>
    </row>
    <row r="144" spans="1:15" s="40" customFormat="1" x14ac:dyDescent="0.2">
      <c r="A144" s="144" t="s">
        <v>414</v>
      </c>
      <c r="B144" s="145"/>
      <c r="C144" s="219">
        <v>29</v>
      </c>
      <c r="D144" s="118"/>
      <c r="E144" s="219">
        <v>23</v>
      </c>
      <c r="F144" s="118"/>
      <c r="G144" s="219">
        <v>23</v>
      </c>
      <c r="I144" s="219">
        <v>19</v>
      </c>
      <c r="K144" s="77">
        <v>18</v>
      </c>
      <c r="M144" s="75"/>
      <c r="O144" s="220"/>
    </row>
    <row r="145" spans="1:17" s="40" customFormat="1" x14ac:dyDescent="0.2">
      <c r="A145" s="144" t="s">
        <v>370</v>
      </c>
      <c r="B145" s="145"/>
      <c r="C145" s="219">
        <v>23</v>
      </c>
      <c r="D145" s="118"/>
      <c r="E145" s="219">
        <v>25</v>
      </c>
      <c r="F145" s="118"/>
      <c r="G145" s="219">
        <v>27</v>
      </c>
      <c r="I145" s="219">
        <v>27</v>
      </c>
      <c r="K145" s="77">
        <v>27</v>
      </c>
      <c r="M145" s="75"/>
      <c r="O145" s="220"/>
    </row>
    <row r="146" spans="1:17" s="40" customFormat="1" x14ac:dyDescent="0.2">
      <c r="A146" s="144" t="s">
        <v>263</v>
      </c>
      <c r="B146" s="145"/>
      <c r="C146" s="219">
        <v>378</v>
      </c>
      <c r="D146" s="118"/>
      <c r="E146" s="219">
        <v>408</v>
      </c>
      <c r="F146" s="118"/>
      <c r="G146" s="219">
        <v>397</v>
      </c>
      <c r="I146" s="219">
        <v>450</v>
      </c>
      <c r="K146" s="77">
        <v>453</v>
      </c>
      <c r="M146" s="75"/>
      <c r="O146" s="220"/>
    </row>
    <row r="147" spans="1:17" s="40" customFormat="1" x14ac:dyDescent="0.2">
      <c r="A147" s="144" t="s">
        <v>198</v>
      </c>
      <c r="B147" s="145"/>
      <c r="C147" s="218">
        <f>SUM(C141:C146)</f>
        <v>6527</v>
      </c>
      <c r="D147" s="118"/>
      <c r="E147" s="218">
        <f>SUM(E141:E146)</f>
        <v>6624</v>
      </c>
      <c r="F147" s="118"/>
      <c r="G147" s="219">
        <f>SUM(G141:G146)</f>
        <v>6586</v>
      </c>
      <c r="I147" s="218">
        <f>SUM(I141:I146)</f>
        <v>6666</v>
      </c>
      <c r="K147" s="77">
        <f>SUM(K141:K146)</f>
        <v>6674</v>
      </c>
      <c r="M147" s="75"/>
      <c r="N147" s="148"/>
      <c r="O147" s="218"/>
    </row>
    <row r="148" spans="1:17" s="37" customFormat="1" x14ac:dyDescent="0.2">
      <c r="A148" s="139"/>
      <c r="B148" s="140"/>
      <c r="C148" s="141"/>
      <c r="D148" s="141"/>
      <c r="E148" s="141"/>
      <c r="F148" s="141"/>
      <c r="M148" s="86"/>
      <c r="N148" s="142"/>
      <c r="O148" s="143"/>
    </row>
    <row r="149" spans="1:17" s="48" customFormat="1" ht="15.75" x14ac:dyDescent="0.25">
      <c r="A149" s="221"/>
      <c r="B149" s="222"/>
      <c r="C149" s="223"/>
      <c r="D149" s="223"/>
      <c r="E149" s="223"/>
      <c r="F149" s="223"/>
      <c r="M149" s="224"/>
      <c r="N149" s="225"/>
      <c r="O149" s="143"/>
    </row>
    <row r="150" spans="1:17" s="48" customFormat="1" x14ac:dyDescent="0.2">
      <c r="A150" s="226" t="s">
        <v>200</v>
      </c>
      <c r="B150" s="227"/>
      <c r="C150" s="228"/>
      <c r="D150" s="229"/>
      <c r="E150" s="230"/>
      <c r="F150" s="229"/>
      <c r="G150" s="230"/>
      <c r="H150" s="229"/>
      <c r="I150" s="230"/>
      <c r="J150" s="229"/>
      <c r="K150" s="230"/>
      <c r="L150" s="229"/>
      <c r="M150" s="228"/>
      <c r="N150" s="229"/>
      <c r="O150" s="143"/>
    </row>
    <row r="151" spans="1:17" s="234" customFormat="1" ht="29.25" customHeight="1" x14ac:dyDescent="0.2">
      <c r="A151" s="1739" t="s">
        <v>415</v>
      </c>
      <c r="B151" s="1740"/>
      <c r="C151" s="1741"/>
      <c r="D151" s="1740"/>
      <c r="E151" s="1741"/>
      <c r="F151" s="1740"/>
      <c r="G151" s="1741"/>
      <c r="H151" s="1740"/>
      <c r="I151" s="1741"/>
      <c r="J151" s="1740"/>
      <c r="K151" s="1741"/>
      <c r="L151" s="1740"/>
      <c r="M151" s="1741"/>
      <c r="N151" s="1740"/>
      <c r="O151" s="231"/>
      <c r="P151" s="232"/>
      <c r="Q151" s="233"/>
    </row>
    <row r="152" spans="1:17" s="234" customFormat="1" x14ac:dyDescent="0.2">
      <c r="A152" s="1742" t="s">
        <v>416</v>
      </c>
      <c r="B152" s="1742"/>
      <c r="C152" s="1742"/>
      <c r="D152" s="1742"/>
      <c r="E152" s="1742"/>
      <c r="F152" s="1742"/>
      <c r="G152" s="1742"/>
      <c r="H152" s="1742"/>
      <c r="I152" s="1742"/>
      <c r="J152" s="1742"/>
      <c r="K152" s="1742"/>
      <c r="L152" s="235"/>
      <c r="M152" s="236"/>
      <c r="N152" s="237"/>
      <c r="O152" s="231"/>
      <c r="P152" s="232"/>
      <c r="Q152" s="233"/>
    </row>
    <row r="153" spans="1:17" s="234" customFormat="1" ht="45" customHeight="1" x14ac:dyDescent="0.2">
      <c r="A153" s="1743"/>
      <c r="B153" s="1743"/>
      <c r="C153" s="1743"/>
      <c r="D153" s="1743"/>
      <c r="E153" s="1743"/>
      <c r="F153" s="1743"/>
      <c r="G153" s="1743"/>
      <c r="H153" s="1743"/>
      <c r="I153" s="1743"/>
      <c r="J153" s="1743"/>
      <c r="K153" s="1743"/>
      <c r="L153" s="1743"/>
      <c r="M153" s="1743"/>
      <c r="N153" s="1743"/>
      <c r="O153" s="231"/>
      <c r="P153" s="232"/>
      <c r="Q153" s="233"/>
    </row>
    <row r="154" spans="1:17" s="234" customFormat="1" ht="39" customHeight="1" x14ac:dyDescent="0.2">
      <c r="A154" s="1743"/>
      <c r="B154" s="1743"/>
      <c r="C154" s="1743"/>
      <c r="D154" s="1743"/>
      <c r="E154" s="1743"/>
      <c r="F154" s="1743"/>
      <c r="G154" s="1743"/>
      <c r="H154" s="1743"/>
      <c r="I154" s="1743"/>
      <c r="J154" s="1743"/>
      <c r="K154" s="1743"/>
      <c r="L154" s="1743"/>
      <c r="M154" s="1743"/>
      <c r="N154" s="1743"/>
      <c r="O154" s="231"/>
      <c r="P154" s="232"/>
      <c r="Q154" s="233"/>
    </row>
    <row r="155" spans="1:17" x14ac:dyDescent="0.2">
      <c r="A155" s="1744"/>
      <c r="B155" s="1744"/>
      <c r="C155" s="1744"/>
      <c r="D155" s="1744"/>
      <c r="E155" s="1744"/>
      <c r="F155" s="1744"/>
      <c r="G155" s="1744"/>
      <c r="H155" s="1744"/>
      <c r="I155" s="1744"/>
      <c r="J155" s="1744"/>
      <c r="K155" s="1744"/>
      <c r="L155" s="1744"/>
      <c r="M155" s="1744"/>
      <c r="N155" s="1744"/>
      <c r="O155" s="238"/>
      <c r="P155" s="54"/>
    </row>
    <row r="156" spans="1:17" ht="27.75" customHeight="1" x14ac:dyDescent="0.2">
      <c r="A156" s="1735"/>
      <c r="B156" s="1735"/>
      <c r="C156" s="1735"/>
      <c r="D156" s="1735"/>
      <c r="E156" s="1735"/>
      <c r="F156" s="1735"/>
      <c r="G156" s="1735"/>
      <c r="H156" s="1735"/>
      <c r="I156" s="1735"/>
      <c r="J156" s="1735"/>
      <c r="K156" s="1735"/>
      <c r="L156" s="1735"/>
      <c r="M156" s="1735"/>
      <c r="N156" s="1735"/>
      <c r="O156" s="238"/>
      <c r="P156" s="54"/>
    </row>
    <row r="157" spans="1:17" ht="27.75" customHeight="1" x14ac:dyDescent="0.2">
      <c r="A157" s="1735"/>
      <c r="B157" s="1735"/>
      <c r="C157" s="1735"/>
      <c r="D157" s="1735"/>
      <c r="E157" s="1735"/>
      <c r="F157" s="1735"/>
      <c r="G157" s="1735"/>
      <c r="H157" s="1735"/>
      <c r="I157" s="1735"/>
      <c r="J157" s="1735"/>
      <c r="K157" s="1735"/>
      <c r="L157" s="1735"/>
      <c r="M157" s="1735"/>
      <c r="N157" s="1735"/>
      <c r="O157" s="238"/>
      <c r="P157" s="54"/>
    </row>
    <row r="158" spans="1:17" ht="27.75" customHeight="1" x14ac:dyDescent="0.2">
      <c r="A158" s="1735"/>
      <c r="B158" s="1735"/>
      <c r="C158" s="1735"/>
      <c r="D158" s="1735"/>
      <c r="E158" s="1735"/>
      <c r="F158" s="1735"/>
      <c r="G158" s="1735"/>
      <c r="H158" s="1735"/>
      <c r="I158" s="1735"/>
      <c r="J158" s="1735"/>
      <c r="K158" s="1735"/>
      <c r="L158" s="1735"/>
      <c r="M158" s="1735"/>
      <c r="N158" s="1735"/>
      <c r="O158" s="238"/>
      <c r="P158" s="54"/>
    </row>
    <row r="159" spans="1:17" ht="27.75" customHeight="1" x14ac:dyDescent="0.2">
      <c r="A159" s="1735"/>
      <c r="B159" s="1735"/>
      <c r="C159" s="1735"/>
      <c r="D159" s="1735"/>
      <c r="E159" s="1735"/>
      <c r="F159" s="1735"/>
      <c r="G159" s="1735"/>
      <c r="H159" s="1735"/>
      <c r="I159" s="1735"/>
      <c r="J159" s="1735"/>
      <c r="K159" s="1735"/>
      <c r="L159" s="1735"/>
      <c r="M159" s="1735"/>
      <c r="N159" s="1735"/>
      <c r="O159" s="238"/>
      <c r="P159" s="54"/>
    </row>
    <row r="160" spans="1:17" ht="27.75" customHeight="1" x14ac:dyDescent="0.2">
      <c r="A160" s="1735"/>
      <c r="B160" s="1735"/>
      <c r="C160" s="1735"/>
      <c r="D160" s="1735"/>
      <c r="E160" s="1735"/>
      <c r="F160" s="1735"/>
      <c r="G160" s="1735"/>
      <c r="H160" s="1735"/>
      <c r="I160" s="1735"/>
      <c r="J160" s="1735"/>
      <c r="K160" s="1735"/>
      <c r="L160" s="1735"/>
      <c r="M160" s="1735"/>
      <c r="N160" s="1735"/>
      <c r="O160" s="238"/>
      <c r="P160" s="54"/>
    </row>
    <row r="161" spans="1:17" x14ac:dyDescent="0.2">
      <c r="A161" s="55"/>
      <c r="B161" s="54"/>
      <c r="C161" s="56"/>
      <c r="D161" s="54"/>
      <c r="E161" s="56"/>
      <c r="F161" s="54"/>
      <c r="G161" s="56"/>
      <c r="H161" s="54"/>
      <c r="I161" s="56"/>
      <c r="J161" s="54"/>
      <c r="K161" s="56"/>
      <c r="L161" s="54"/>
      <c r="M161" s="56"/>
      <c r="N161" s="54"/>
      <c r="O161" s="238"/>
      <c r="P161" s="54"/>
    </row>
    <row r="162" spans="1:17" x14ac:dyDescent="0.2">
      <c r="A162" s="55"/>
      <c r="B162" s="54"/>
      <c r="C162" s="54"/>
      <c r="D162" s="54"/>
      <c r="E162" s="54"/>
      <c r="F162" s="54"/>
      <c r="G162" s="54"/>
      <c r="H162" s="54"/>
      <c r="I162" s="54"/>
      <c r="J162" s="54"/>
      <c r="K162" s="54"/>
      <c r="L162" s="54"/>
      <c r="M162" s="54"/>
      <c r="N162" s="54"/>
      <c r="O162" s="238"/>
      <c r="P162" s="54"/>
    </row>
    <row r="163" spans="1:17" x14ac:dyDescent="0.2">
      <c r="A163" s="55"/>
      <c r="B163" s="54"/>
      <c r="C163" s="56"/>
      <c r="D163" s="54"/>
      <c r="E163" s="56"/>
      <c r="F163" s="54"/>
      <c r="G163" s="56"/>
      <c r="H163" s="54"/>
      <c r="I163" s="56"/>
      <c r="J163" s="54"/>
      <c r="K163" s="56"/>
      <c r="L163" s="54"/>
      <c r="M163" s="56"/>
      <c r="N163" s="54"/>
      <c r="O163" s="238"/>
      <c r="P163" s="54"/>
    </row>
    <row r="164" spans="1:17" x14ac:dyDescent="0.2">
      <c r="A164" s="55"/>
      <c r="B164" s="54"/>
      <c r="C164" s="107"/>
      <c r="D164" s="54"/>
      <c r="E164" s="107"/>
      <c r="F164" s="54"/>
      <c r="G164" s="107"/>
      <c r="H164" s="54"/>
      <c r="I164" s="107"/>
      <c r="J164" s="54"/>
      <c r="K164" s="107"/>
      <c r="L164" s="54"/>
      <c r="M164" s="107"/>
      <c r="N164" s="54"/>
      <c r="O164" s="238"/>
      <c r="P164" s="54"/>
    </row>
    <row r="165" spans="1:17" x14ac:dyDescent="0.2">
      <c r="A165" s="55"/>
      <c r="B165" s="54"/>
      <c r="C165" s="56"/>
      <c r="D165" s="54"/>
      <c r="E165" s="56"/>
      <c r="F165" s="54"/>
      <c r="G165" s="56"/>
      <c r="H165" s="54"/>
      <c r="I165" s="56"/>
      <c r="J165" s="54"/>
      <c r="K165" s="56"/>
      <c r="L165" s="54"/>
      <c r="M165" s="56"/>
      <c r="N165" s="54"/>
      <c r="O165" s="238"/>
      <c r="P165" s="54"/>
    </row>
    <row r="166" spans="1:17" x14ac:dyDescent="0.2">
      <c r="A166" s="55"/>
      <c r="B166" s="54"/>
      <c r="C166" s="54"/>
      <c r="D166" s="54"/>
      <c r="E166" s="54"/>
      <c r="F166" s="54"/>
      <c r="G166" s="54"/>
      <c r="H166" s="54"/>
      <c r="I166" s="54"/>
      <c r="J166" s="54"/>
      <c r="K166" s="54"/>
      <c r="L166" s="54"/>
      <c r="M166" s="54"/>
      <c r="N166" s="54"/>
      <c r="O166" s="238"/>
      <c r="P166" s="54"/>
    </row>
    <row r="167" spans="1:17" x14ac:dyDescent="0.2">
      <c r="A167" s="55"/>
      <c r="B167" s="54"/>
      <c r="C167" s="54"/>
      <c r="D167" s="54"/>
      <c r="E167" s="54"/>
      <c r="F167" s="54"/>
      <c r="G167" s="54"/>
      <c r="H167" s="54"/>
      <c r="I167" s="54"/>
      <c r="J167" s="54"/>
      <c r="K167" s="54"/>
      <c r="L167" s="54"/>
      <c r="M167" s="54"/>
      <c r="N167" s="54"/>
      <c r="O167" s="238"/>
      <c r="P167" s="54"/>
    </row>
    <row r="168" spans="1:17" x14ac:dyDescent="0.2">
      <c r="A168" s="55"/>
      <c r="B168" s="54"/>
      <c r="C168" s="54"/>
      <c r="D168" s="54"/>
      <c r="E168" s="54"/>
      <c r="F168" s="54"/>
      <c r="G168" s="54"/>
      <c r="H168" s="54"/>
      <c r="I168" s="54"/>
      <c r="J168" s="54"/>
      <c r="K168" s="54"/>
      <c r="L168" s="54"/>
      <c r="M168" s="54"/>
      <c r="N168" s="54"/>
      <c r="O168" s="238"/>
      <c r="P168" s="54"/>
      <c r="Q168" s="57"/>
    </row>
    <row r="169" spans="1:17" x14ac:dyDescent="0.2">
      <c r="B169" s="25"/>
      <c r="C169" s="25"/>
      <c r="D169" s="25"/>
      <c r="E169" s="58"/>
      <c r="F169" s="58"/>
      <c r="G169" s="58"/>
      <c r="H169" s="58"/>
      <c r="O169" s="239"/>
    </row>
    <row r="170" spans="1:17" x14ac:dyDescent="0.2">
      <c r="B170" s="25"/>
      <c r="C170" s="25"/>
      <c r="D170" s="25"/>
      <c r="E170" s="58"/>
      <c r="F170" s="58"/>
      <c r="G170" s="58"/>
      <c r="H170" s="58"/>
      <c r="O170" s="239"/>
    </row>
    <row r="171" spans="1:17" x14ac:dyDescent="0.2">
      <c r="B171" s="25"/>
      <c r="C171" s="25"/>
      <c r="D171" s="25"/>
      <c r="E171" s="58"/>
      <c r="F171" s="58"/>
      <c r="G171" s="58"/>
      <c r="H171" s="58"/>
      <c r="O171" s="239"/>
    </row>
    <row r="172" spans="1:17" x14ac:dyDescent="0.2">
      <c r="B172" s="25"/>
      <c r="C172" s="25"/>
      <c r="D172" s="25"/>
      <c r="E172" s="58"/>
      <c r="F172" s="58"/>
      <c r="G172" s="58"/>
      <c r="H172" s="58"/>
      <c r="O172" s="239"/>
    </row>
    <row r="173" spans="1:17" x14ac:dyDescent="0.2">
      <c r="B173" s="25"/>
      <c r="C173" s="25"/>
      <c r="D173" s="25"/>
      <c r="E173" s="58"/>
      <c r="F173" s="58"/>
      <c r="G173" s="58"/>
      <c r="H173" s="58"/>
      <c r="O173" s="239"/>
    </row>
    <row r="174" spans="1:17" x14ac:dyDescent="0.2">
      <c r="B174" s="25"/>
      <c r="C174" s="25"/>
      <c r="D174" s="25"/>
      <c r="E174" s="58"/>
      <c r="F174" s="58"/>
      <c r="G174" s="58"/>
      <c r="H174" s="58"/>
      <c r="O174" s="239"/>
    </row>
    <row r="175" spans="1:17" x14ac:dyDescent="0.2">
      <c r="B175" s="25"/>
      <c r="C175" s="25"/>
      <c r="D175" s="25"/>
      <c r="E175" s="58"/>
      <c r="F175" s="58"/>
      <c r="G175" s="58"/>
      <c r="H175" s="58"/>
      <c r="O175" s="239"/>
    </row>
    <row r="176" spans="1:17" x14ac:dyDescent="0.2">
      <c r="B176" s="25"/>
      <c r="C176" s="25"/>
      <c r="D176" s="25"/>
      <c r="E176" s="58"/>
      <c r="F176" s="58"/>
      <c r="G176" s="58"/>
      <c r="H176" s="58"/>
      <c r="O176" s="239"/>
    </row>
    <row r="177" spans="2:15" x14ac:dyDescent="0.2">
      <c r="B177" s="25"/>
      <c r="C177" s="25"/>
      <c r="D177" s="25"/>
      <c r="E177" s="58"/>
      <c r="F177" s="58"/>
      <c r="G177" s="58"/>
      <c r="H177" s="58"/>
      <c r="O177" s="239"/>
    </row>
    <row r="178" spans="2:15" x14ac:dyDescent="0.2">
      <c r="B178" s="25"/>
      <c r="C178" s="25"/>
      <c r="D178" s="25"/>
      <c r="E178" s="58"/>
      <c r="F178" s="58"/>
      <c r="G178" s="58"/>
      <c r="H178" s="58"/>
      <c r="O178" s="239"/>
    </row>
    <row r="179" spans="2:15" x14ac:dyDescent="0.2">
      <c r="B179" s="25"/>
      <c r="C179" s="25"/>
      <c r="D179" s="25"/>
      <c r="E179" s="58"/>
      <c r="F179" s="58"/>
      <c r="G179" s="58"/>
      <c r="H179" s="58"/>
      <c r="O179" s="239"/>
    </row>
    <row r="180" spans="2:15" x14ac:dyDescent="0.2">
      <c r="B180" s="25"/>
      <c r="C180" s="25"/>
      <c r="D180" s="25"/>
      <c r="E180" s="58"/>
      <c r="F180" s="58"/>
      <c r="G180" s="58"/>
      <c r="H180" s="58"/>
      <c r="O180" s="239"/>
    </row>
    <row r="181" spans="2:15" x14ac:dyDescent="0.2">
      <c r="B181" s="25"/>
      <c r="C181" s="25"/>
      <c r="D181" s="25"/>
      <c r="E181" s="58"/>
      <c r="F181" s="58"/>
      <c r="G181" s="58"/>
      <c r="H181" s="58"/>
      <c r="O181" s="239"/>
    </row>
    <row r="182" spans="2:15" x14ac:dyDescent="0.2">
      <c r="B182" s="25"/>
      <c r="C182" s="25"/>
      <c r="D182" s="25"/>
      <c r="E182" s="58"/>
      <c r="F182" s="58"/>
      <c r="G182" s="58"/>
      <c r="H182" s="58"/>
      <c r="O182" s="239"/>
    </row>
    <row r="183" spans="2:15" x14ac:dyDescent="0.2">
      <c r="B183" s="25"/>
      <c r="C183" s="25"/>
      <c r="D183" s="25"/>
      <c r="E183" s="58"/>
      <c r="F183" s="58"/>
      <c r="G183" s="58"/>
      <c r="H183" s="58"/>
      <c r="O183" s="239"/>
    </row>
    <row r="184" spans="2:15" x14ac:dyDescent="0.2">
      <c r="B184" s="25"/>
      <c r="C184" s="25"/>
      <c r="D184" s="25"/>
      <c r="E184" s="58"/>
      <c r="F184" s="58"/>
      <c r="G184" s="58"/>
      <c r="H184" s="58"/>
      <c r="O184" s="239"/>
    </row>
    <row r="185" spans="2:15" x14ac:dyDescent="0.2">
      <c r="B185" s="25"/>
      <c r="C185" s="25"/>
      <c r="D185" s="25"/>
      <c r="E185" s="58"/>
      <c r="F185" s="58"/>
      <c r="G185" s="58"/>
      <c r="H185" s="58"/>
      <c r="O185" s="239"/>
    </row>
    <row r="186" spans="2:15" x14ac:dyDescent="0.2">
      <c r="B186" s="25"/>
      <c r="C186" s="25"/>
      <c r="D186" s="25"/>
      <c r="E186" s="58"/>
      <c r="F186" s="58"/>
      <c r="G186" s="58"/>
      <c r="H186" s="58"/>
      <c r="O186" s="239"/>
    </row>
    <row r="187" spans="2:15" x14ac:dyDescent="0.2">
      <c r="B187" s="25"/>
      <c r="C187" s="25"/>
      <c r="D187" s="25"/>
      <c r="E187" s="58"/>
      <c r="F187" s="58"/>
      <c r="G187" s="58"/>
      <c r="H187" s="58"/>
      <c r="O187" s="239"/>
    </row>
    <row r="188" spans="2:15" x14ac:dyDescent="0.2">
      <c r="B188" s="25"/>
      <c r="C188" s="25"/>
      <c r="D188" s="25"/>
      <c r="E188" s="58"/>
      <c r="F188" s="58"/>
      <c r="G188" s="58"/>
      <c r="H188" s="58"/>
      <c r="O188" s="239"/>
    </row>
    <row r="189" spans="2:15" x14ac:dyDescent="0.2">
      <c r="B189" s="25"/>
      <c r="C189" s="25"/>
      <c r="D189" s="25"/>
      <c r="E189" s="58"/>
      <c r="F189" s="58"/>
      <c r="G189" s="58"/>
      <c r="H189" s="58"/>
      <c r="O189" s="239"/>
    </row>
    <row r="190" spans="2:15" x14ac:dyDescent="0.2">
      <c r="B190" s="25"/>
      <c r="C190" s="25"/>
      <c r="D190" s="25"/>
      <c r="E190" s="58"/>
      <c r="F190" s="58"/>
      <c r="G190" s="58"/>
      <c r="H190" s="58"/>
      <c r="O190" s="239"/>
    </row>
    <row r="191" spans="2:15" x14ac:dyDescent="0.2">
      <c r="B191" s="25"/>
      <c r="C191" s="25"/>
      <c r="D191" s="25"/>
      <c r="E191" s="58"/>
      <c r="F191" s="58"/>
      <c r="G191" s="58"/>
      <c r="H191" s="58"/>
      <c r="O191" s="239"/>
    </row>
    <row r="192" spans="2:15" x14ac:dyDescent="0.2">
      <c r="B192" s="25"/>
      <c r="C192" s="25"/>
      <c r="D192" s="25"/>
      <c r="E192" s="58"/>
      <c r="F192" s="58"/>
      <c r="G192" s="58"/>
      <c r="H192" s="58"/>
      <c r="O192" s="239"/>
    </row>
    <row r="193" spans="2:15" x14ac:dyDescent="0.2">
      <c r="B193" s="25"/>
      <c r="C193" s="25"/>
      <c r="D193" s="25"/>
      <c r="E193" s="58"/>
      <c r="F193" s="58"/>
      <c r="G193" s="58"/>
      <c r="H193" s="58"/>
      <c r="O193" s="239"/>
    </row>
    <row r="194" spans="2:15" x14ac:dyDescent="0.2">
      <c r="B194" s="25"/>
      <c r="C194" s="25"/>
      <c r="D194" s="25"/>
      <c r="E194" s="58"/>
      <c r="F194" s="58"/>
      <c r="G194" s="58"/>
      <c r="H194" s="58"/>
      <c r="O194" s="239"/>
    </row>
    <row r="195" spans="2:15" x14ac:dyDescent="0.2">
      <c r="B195" s="25"/>
      <c r="C195" s="25"/>
      <c r="D195" s="25"/>
      <c r="E195" s="58"/>
      <c r="F195" s="58"/>
      <c r="G195" s="58"/>
      <c r="H195" s="58"/>
      <c r="O195" s="239"/>
    </row>
    <row r="196" spans="2:15" x14ac:dyDescent="0.2">
      <c r="B196" s="25"/>
      <c r="C196" s="25"/>
      <c r="D196" s="25"/>
      <c r="E196" s="58"/>
      <c r="F196" s="58"/>
      <c r="G196" s="58"/>
      <c r="H196" s="58"/>
      <c r="O196" s="239"/>
    </row>
    <row r="197" spans="2:15" x14ac:dyDescent="0.2">
      <c r="B197" s="25"/>
      <c r="C197" s="25"/>
      <c r="D197" s="25"/>
      <c r="E197" s="58"/>
      <c r="F197" s="58"/>
      <c r="G197" s="58"/>
      <c r="H197" s="58"/>
      <c r="O197" s="239"/>
    </row>
    <row r="198" spans="2:15" x14ac:dyDescent="0.2">
      <c r="B198" s="25"/>
      <c r="O198" s="239"/>
    </row>
    <row r="199" spans="2:15" x14ac:dyDescent="0.2">
      <c r="B199" s="25"/>
      <c r="O199" s="239"/>
    </row>
    <row r="200" spans="2:15" x14ac:dyDescent="0.2">
      <c r="B200" s="25"/>
      <c r="O200" s="239"/>
    </row>
    <row r="201" spans="2:15" x14ac:dyDescent="0.2">
      <c r="B201" s="25"/>
      <c r="O201" s="239"/>
    </row>
    <row r="202" spans="2:15" x14ac:dyDescent="0.2">
      <c r="B202" s="25"/>
      <c r="O202" s="239"/>
    </row>
    <row r="203" spans="2:15" x14ac:dyDescent="0.2">
      <c r="B203" s="25"/>
      <c r="O203" s="239"/>
    </row>
    <row r="204" spans="2:15" x14ac:dyDescent="0.2">
      <c r="B204" s="25"/>
      <c r="O204" s="239"/>
    </row>
    <row r="205" spans="2:15" x14ac:dyDescent="0.2">
      <c r="B205" s="25"/>
      <c r="O205" s="239"/>
    </row>
    <row r="206" spans="2:15" x14ac:dyDescent="0.2">
      <c r="B206" s="25"/>
      <c r="O206" s="239"/>
    </row>
    <row r="207" spans="2:15" x14ac:dyDescent="0.2">
      <c r="B207" s="25"/>
      <c r="O207" s="239"/>
    </row>
    <row r="208" spans="2:15" x14ac:dyDescent="0.2">
      <c r="B208" s="25"/>
      <c r="O208" s="239"/>
    </row>
    <row r="209" spans="2:15" x14ac:dyDescent="0.2">
      <c r="B209" s="25"/>
      <c r="O209" s="239"/>
    </row>
    <row r="210" spans="2:15" x14ac:dyDescent="0.2">
      <c r="B210" s="25"/>
    </row>
    <row r="211" spans="2:15" x14ac:dyDescent="0.2">
      <c r="B211" s="25"/>
    </row>
    <row r="212" spans="2:15" x14ac:dyDescent="0.2">
      <c r="B212" s="25"/>
    </row>
    <row r="213" spans="2:15" x14ac:dyDescent="0.2">
      <c r="B213" s="25"/>
    </row>
    <row r="214" spans="2:15" x14ac:dyDescent="0.2">
      <c r="B214" s="25"/>
    </row>
  </sheetData>
  <mergeCells count="11">
    <mergeCell ref="A157:N157"/>
    <mergeCell ref="A158:N158"/>
    <mergeCell ref="A159:N159"/>
    <mergeCell ref="A160:N160"/>
    <mergeCell ref="K2:K3"/>
    <mergeCell ref="A151:N151"/>
    <mergeCell ref="A152:K152"/>
    <mergeCell ref="A153:N153"/>
    <mergeCell ref="A154:N154"/>
    <mergeCell ref="A155:N155"/>
    <mergeCell ref="A156:N156"/>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1" fitToHeight="99" pageOrder="overThenDown" orientation="portrait" blackAndWhite="1"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1">
    <pageSetUpPr fitToPage="1"/>
  </sheetPr>
  <dimension ref="A1:Q124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490" customWidth="1"/>
    <col min="2" max="2" width="7.7109375" style="1491" bestFit="1" customWidth="1"/>
    <col min="3" max="3" width="13.7109375" style="358" customWidth="1"/>
    <col min="4" max="4" width="3" style="358" customWidth="1"/>
    <col min="5" max="5" width="13.7109375" style="358" customWidth="1"/>
    <col min="6" max="6" width="2.85546875" style="1073" customWidth="1"/>
    <col min="7" max="7" width="13.7109375" style="358" hidden="1" customWidth="1"/>
    <col min="8" max="8" width="3.140625" style="1073" hidden="1" customWidth="1"/>
    <col min="9" max="9" width="13.7109375" style="358" customWidth="1"/>
    <col min="10" max="10" width="3.140625" style="1073" bestFit="1" customWidth="1"/>
    <col min="11" max="11" width="13.7109375" style="358" customWidth="1"/>
    <col min="12" max="12" width="4.5703125" style="1073" bestFit="1" customWidth="1"/>
    <col min="13" max="13" width="13.7109375" style="358" hidden="1" customWidth="1"/>
    <col min="14" max="14" width="3.140625" style="1073" hidden="1" customWidth="1"/>
    <col min="15" max="15" width="13.7109375" style="358" customWidth="1"/>
    <col min="16" max="16" width="2.85546875" style="1073" customWidth="1"/>
    <col min="17" max="17" width="3.42578125" style="1494" customWidth="1"/>
    <col min="18" max="16384" width="9.140625" style="1494"/>
  </cols>
  <sheetData>
    <row r="1" spans="1:16" s="1476" customFormat="1" ht="15.75" x14ac:dyDescent="0.2">
      <c r="A1" s="1475" t="s">
        <v>174</v>
      </c>
      <c r="B1" s="12">
        <v>2019</v>
      </c>
      <c r="G1" s="1477"/>
      <c r="I1" s="1477"/>
      <c r="J1" s="1478"/>
      <c r="K1" s="1477"/>
      <c r="L1" s="1478"/>
      <c r="M1" s="1477"/>
      <c r="N1" s="1478"/>
    </row>
    <row r="2" spans="1:16" s="1476" customFormat="1" ht="15.75" x14ac:dyDescent="0.25">
      <c r="A2" s="1475" t="s">
        <v>175</v>
      </c>
      <c r="B2" s="1479" t="s">
        <v>176</v>
      </c>
      <c r="C2" s="1479" t="s">
        <v>0</v>
      </c>
      <c r="D2" s="1478"/>
      <c r="E2" s="1477"/>
      <c r="F2" s="1480"/>
      <c r="G2" s="1477"/>
      <c r="H2" s="1478"/>
      <c r="I2" s="1477"/>
      <c r="J2" s="1478"/>
      <c r="K2" s="1733" t="s">
        <v>171</v>
      </c>
      <c r="L2" s="1478"/>
      <c r="M2" s="1477"/>
      <c r="N2" s="1478"/>
    </row>
    <row r="3" spans="1:16" s="1476" customFormat="1" ht="15.75" x14ac:dyDescent="0.25">
      <c r="A3" s="1475" t="s">
        <v>177</v>
      </c>
      <c r="B3" s="1479" t="s">
        <v>1766</v>
      </c>
      <c r="C3" s="1479" t="s">
        <v>2441</v>
      </c>
      <c r="D3" s="1478"/>
      <c r="E3" s="1477"/>
      <c r="F3" s="1480"/>
      <c r="G3" s="1477"/>
      <c r="H3" s="1478"/>
      <c r="I3" s="1477"/>
      <c r="J3" s="1478"/>
      <c r="K3" s="1734"/>
      <c r="L3" s="1478"/>
      <c r="M3" s="1477"/>
      <c r="N3" s="1478"/>
    </row>
    <row r="4" spans="1:16" s="1476" customFormat="1" ht="15.75" x14ac:dyDescent="0.25">
      <c r="A4" s="1475" t="s">
        <v>180</v>
      </c>
      <c r="B4" s="1479" t="s">
        <v>216</v>
      </c>
      <c r="C4" s="1479" t="s">
        <v>1</v>
      </c>
      <c r="D4" s="1478"/>
      <c r="E4" s="1477"/>
      <c r="F4" s="1480"/>
      <c r="G4" s="1477"/>
      <c r="H4" s="1478"/>
      <c r="I4" s="1477"/>
      <c r="J4" s="1478"/>
      <c r="K4" s="1477"/>
      <c r="L4" s="1478"/>
      <c r="M4" s="1477"/>
      <c r="N4" s="1478"/>
    </row>
    <row r="5" spans="1:16" s="1476" customFormat="1" ht="15.75" x14ac:dyDescent="0.2">
      <c r="A5" s="1475" t="s">
        <v>183</v>
      </c>
      <c r="B5" s="1479" t="s">
        <v>211</v>
      </c>
      <c r="C5" s="1479" t="s">
        <v>211</v>
      </c>
      <c r="D5" s="1481"/>
    </row>
    <row r="6" spans="1:16" s="1476" customFormat="1" ht="15.75" x14ac:dyDescent="0.25">
      <c r="A6" s="1475" t="s">
        <v>186</v>
      </c>
      <c r="B6" s="1482">
        <v>4</v>
      </c>
      <c r="C6" s="1483"/>
      <c r="D6" s="1484"/>
      <c r="E6" s="1485"/>
      <c r="F6" s="1480"/>
      <c r="G6" s="1477"/>
      <c r="H6" s="1478"/>
      <c r="I6" s="1477"/>
      <c r="J6" s="1478"/>
      <c r="K6" s="1477"/>
      <c r="L6" s="1478"/>
      <c r="M6" s="1477"/>
      <c r="N6" s="1478"/>
    </row>
    <row r="7" spans="1:16" s="1478" customFormat="1" x14ac:dyDescent="0.2">
      <c r="A7" s="1486"/>
      <c r="B7" s="1487"/>
      <c r="C7" s="1488"/>
      <c r="D7" s="1489"/>
      <c r="E7" s="1488"/>
      <c r="F7" s="1489"/>
      <c r="G7" s="1488"/>
      <c r="H7" s="1489"/>
      <c r="I7" s="1488"/>
      <c r="J7" s="1489"/>
      <c r="K7" s="1488" t="s">
        <v>187</v>
      </c>
      <c r="L7" s="1489"/>
      <c r="M7" s="1488" t="s">
        <v>187</v>
      </c>
      <c r="N7" s="1489"/>
    </row>
    <row r="8" spans="1:16" x14ac:dyDescent="0.2">
      <c r="C8" s="1492" t="s">
        <v>188</v>
      </c>
      <c r="D8" s="1493" t="s">
        <v>189</v>
      </c>
      <c r="E8" s="1492" t="s">
        <v>188</v>
      </c>
      <c r="F8" s="1493" t="s">
        <v>189</v>
      </c>
      <c r="G8" s="1492" t="s">
        <v>190</v>
      </c>
      <c r="H8" s="1493" t="s">
        <v>189</v>
      </c>
      <c r="I8" s="1492" t="s">
        <v>191</v>
      </c>
      <c r="J8" s="1493" t="s">
        <v>189</v>
      </c>
      <c r="K8" s="1492" t="s">
        <v>192</v>
      </c>
      <c r="L8" s="1493" t="s">
        <v>189</v>
      </c>
      <c r="M8" s="1492" t="s">
        <v>192</v>
      </c>
      <c r="N8" s="1493" t="s">
        <v>189</v>
      </c>
      <c r="O8" s="1494"/>
      <c r="P8" s="1494"/>
    </row>
    <row r="9" spans="1:16" s="1478" customFormat="1" ht="14.25" x14ac:dyDescent="0.2">
      <c r="A9" s="1486"/>
      <c r="B9" s="1487"/>
      <c r="C9" s="1495" t="str">
        <f>"FY " &amp; FiscalYear - 3</f>
        <v>FY 2016</v>
      </c>
      <c r="D9" s="1496" t="s">
        <v>193</v>
      </c>
      <c r="E9" s="1495" t="str">
        <f>"FY " &amp; FiscalYear - 2</f>
        <v>FY 2017</v>
      </c>
      <c r="F9" s="1496" t="s">
        <v>193</v>
      </c>
      <c r="G9" s="1495" t="str">
        <f>"FY " &amp; FiscalYear - 1</f>
        <v>FY 2018</v>
      </c>
      <c r="H9" s="1496" t="s">
        <v>193</v>
      </c>
      <c r="I9" s="34" t="str">
        <f>"FY " &amp; FiscalYear - 1</f>
        <v>FY 2018</v>
      </c>
      <c r="J9" s="1496" t="s">
        <v>193</v>
      </c>
      <c r="K9" s="34" t="str">
        <f>"FY " &amp; FiscalYear</f>
        <v>FY 2019</v>
      </c>
      <c r="L9" s="1496" t="s">
        <v>193</v>
      </c>
      <c r="M9" s="34" t="str">
        <f>"FY " &amp; FiscalYear + 1</f>
        <v>FY 2020</v>
      </c>
      <c r="N9" s="1496" t="s">
        <v>193</v>
      </c>
    </row>
    <row r="10" spans="1:16" s="1425" customFormat="1" x14ac:dyDescent="0.2">
      <c r="A10" s="1497" t="s">
        <v>194</v>
      </c>
      <c r="B10" s="889"/>
      <c r="C10" s="1424"/>
      <c r="D10" s="1424"/>
      <c r="E10" s="1424"/>
      <c r="F10" s="1424"/>
      <c r="M10" s="1424"/>
    </row>
    <row r="11" spans="1:16" s="1425" customFormat="1" x14ac:dyDescent="0.2">
      <c r="A11" s="1498" t="s">
        <v>512</v>
      </c>
      <c r="B11" s="889"/>
      <c r="C11" s="1424"/>
      <c r="D11" s="1424"/>
      <c r="E11" s="1424"/>
      <c r="F11" s="1424"/>
      <c r="M11" s="1424"/>
    </row>
    <row r="12" spans="1:16" s="892" customFormat="1" x14ac:dyDescent="0.2">
      <c r="A12" s="906" t="s">
        <v>255</v>
      </c>
      <c r="B12" s="889"/>
      <c r="C12" s="901">
        <v>313</v>
      </c>
      <c r="D12" s="901"/>
      <c r="E12" s="901">
        <v>338</v>
      </c>
      <c r="F12" s="901"/>
      <c r="I12" s="901">
        <v>336</v>
      </c>
      <c r="M12" s="901"/>
    </row>
    <row r="13" spans="1:16" s="892" customFormat="1" x14ac:dyDescent="0.2">
      <c r="A13" s="906" t="s">
        <v>256</v>
      </c>
      <c r="B13" s="889"/>
      <c r="C13" s="100">
        <v>0.105</v>
      </c>
      <c r="D13" s="901"/>
      <c r="E13" s="100">
        <v>0.11700000000000001</v>
      </c>
      <c r="F13" s="901"/>
      <c r="G13" s="101"/>
      <c r="I13" s="100">
        <v>0.11600000000000001</v>
      </c>
      <c r="K13" s="101"/>
      <c r="M13" s="100"/>
    </row>
    <row r="14" spans="1:16" s="892" customFormat="1" x14ac:dyDescent="0.2">
      <c r="A14" s="906" t="s">
        <v>2796</v>
      </c>
      <c r="B14" s="889"/>
      <c r="C14" s="901">
        <v>719</v>
      </c>
      <c r="D14" s="901"/>
      <c r="E14" s="901">
        <v>738</v>
      </c>
      <c r="F14" s="901"/>
      <c r="I14" s="901">
        <v>758</v>
      </c>
      <c r="M14" s="901"/>
    </row>
    <row r="15" spans="1:16" s="892" customFormat="1" x14ac:dyDescent="0.2">
      <c r="A15" s="906" t="s">
        <v>258</v>
      </c>
      <c r="B15" s="889"/>
      <c r="C15" s="100">
        <v>0.24199999999999999</v>
      </c>
      <c r="D15" s="901"/>
      <c r="E15" s="100">
        <v>0.246</v>
      </c>
      <c r="F15" s="901"/>
      <c r="G15" s="101"/>
      <c r="I15" s="100">
        <v>0.26300000000000001</v>
      </c>
      <c r="K15" s="101"/>
      <c r="M15" s="100"/>
    </row>
    <row r="16" spans="1:16" s="892" customFormat="1" x14ac:dyDescent="0.2">
      <c r="A16" s="906" t="s">
        <v>2797</v>
      </c>
      <c r="B16" s="889"/>
      <c r="C16" s="901">
        <v>1032</v>
      </c>
      <c r="D16" s="901"/>
      <c r="E16" s="901">
        <v>1076</v>
      </c>
      <c r="F16" s="901"/>
      <c r="I16" s="901">
        <v>1094</v>
      </c>
      <c r="M16" s="956"/>
    </row>
    <row r="17" spans="1:17" s="892" customFormat="1" x14ac:dyDescent="0.2">
      <c r="A17" s="906" t="s">
        <v>260</v>
      </c>
      <c r="B17" s="889"/>
      <c r="C17" s="100">
        <v>0.34699999999999998</v>
      </c>
      <c r="D17" s="901"/>
      <c r="E17" s="100">
        <v>0.373</v>
      </c>
      <c r="F17" s="901"/>
      <c r="G17" s="101"/>
      <c r="I17" s="100">
        <v>0.379</v>
      </c>
      <c r="K17" s="101"/>
      <c r="M17" s="100"/>
    </row>
    <row r="18" spans="1:17" s="1425" customFormat="1" x14ac:dyDescent="0.2">
      <c r="A18" s="1498" t="s">
        <v>211</v>
      </c>
      <c r="B18" s="889"/>
      <c r="C18" s="1424"/>
      <c r="D18" s="1424"/>
      <c r="E18" s="1424"/>
      <c r="F18" s="1424"/>
    </row>
    <row r="19" spans="1:17" s="1425" customFormat="1" x14ac:dyDescent="0.2">
      <c r="A19" s="1497" t="s">
        <v>973</v>
      </c>
      <c r="B19" s="889"/>
      <c r="C19" s="1424"/>
      <c r="D19" s="1424"/>
    </row>
    <row r="20" spans="1:17" s="892" customFormat="1" x14ac:dyDescent="0.2">
      <c r="A20" s="1498" t="s">
        <v>196</v>
      </c>
      <c r="B20" s="889"/>
      <c r="C20" s="901"/>
      <c r="D20" s="901"/>
    </row>
    <row r="21" spans="1:17" s="892" customFormat="1" x14ac:dyDescent="0.2">
      <c r="A21" s="906" t="s">
        <v>197</v>
      </c>
      <c r="B21" s="889"/>
      <c r="C21" s="901">
        <v>132</v>
      </c>
      <c r="D21" s="901"/>
      <c r="E21" s="901">
        <v>126</v>
      </c>
      <c r="G21" s="901">
        <v>127</v>
      </c>
      <c r="I21" s="901">
        <v>122</v>
      </c>
      <c r="K21" s="892">
        <v>133</v>
      </c>
      <c r="M21" s="956"/>
    </row>
    <row r="22" spans="1:17" s="892" customFormat="1" x14ac:dyDescent="0.2">
      <c r="A22" s="906" t="s">
        <v>262</v>
      </c>
      <c r="B22" s="889"/>
      <c r="C22" s="901">
        <v>5</v>
      </c>
      <c r="D22" s="901"/>
      <c r="E22" s="901">
        <v>8</v>
      </c>
      <c r="G22" s="901">
        <v>8</v>
      </c>
      <c r="I22" s="901">
        <v>8</v>
      </c>
      <c r="K22" s="892">
        <v>9</v>
      </c>
      <c r="M22" s="956"/>
    </row>
    <row r="23" spans="1:17" s="892" customFormat="1" x14ac:dyDescent="0.2">
      <c r="A23" s="906" t="s">
        <v>198</v>
      </c>
      <c r="B23" s="889"/>
      <c r="C23" s="901">
        <v>137</v>
      </c>
      <c r="D23" s="901"/>
      <c r="E23" s="901">
        <v>134</v>
      </c>
      <c r="G23" s="901">
        <v>135</v>
      </c>
      <c r="I23" s="901">
        <v>130</v>
      </c>
      <c r="K23" s="892">
        <v>142</v>
      </c>
      <c r="M23" s="363"/>
    </row>
    <row r="24" spans="1:17" s="892" customFormat="1" x14ac:dyDescent="0.2">
      <c r="A24" s="1498" t="s">
        <v>199</v>
      </c>
      <c r="B24" s="889"/>
      <c r="C24" s="901"/>
      <c r="D24" s="901"/>
      <c r="E24" s="901"/>
      <c r="M24" s="956"/>
    </row>
    <row r="25" spans="1:17" s="892" customFormat="1" x14ac:dyDescent="0.2">
      <c r="A25" s="906" t="s">
        <v>263</v>
      </c>
      <c r="B25" s="889"/>
      <c r="C25" s="901">
        <v>137</v>
      </c>
      <c r="D25" s="901"/>
      <c r="E25" s="901">
        <v>134</v>
      </c>
      <c r="G25" s="901">
        <v>135</v>
      </c>
      <c r="I25" s="901">
        <v>130</v>
      </c>
      <c r="K25" s="892">
        <v>142</v>
      </c>
      <c r="M25" s="956"/>
    </row>
    <row r="26" spans="1:17" s="892" customFormat="1" x14ac:dyDescent="0.2">
      <c r="A26" s="906" t="s">
        <v>198</v>
      </c>
      <c r="B26" s="889"/>
      <c r="C26" s="901">
        <v>137</v>
      </c>
      <c r="D26" s="901"/>
      <c r="E26" s="901">
        <v>134</v>
      </c>
      <c r="G26" s="901">
        <v>135</v>
      </c>
      <c r="I26" s="901">
        <v>130</v>
      </c>
      <c r="K26" s="892">
        <v>142</v>
      </c>
      <c r="M26" s="956"/>
    </row>
    <row r="27" spans="1:17" s="1425" customFormat="1" x14ac:dyDescent="0.2">
      <c r="A27" s="1498"/>
      <c r="B27" s="889"/>
      <c r="C27" s="1424"/>
      <c r="D27" s="1424"/>
    </row>
    <row r="28" spans="1:17" s="1501" customFormat="1" x14ac:dyDescent="0.2">
      <c r="A28" s="1499"/>
      <c r="B28" s="1500"/>
    </row>
    <row r="29" spans="1:17" s="1501" customFormat="1" x14ac:dyDescent="0.2">
      <c r="A29" s="1497" t="s">
        <v>200</v>
      </c>
      <c r="B29" s="889"/>
      <c r="C29" s="901"/>
      <c r="D29" s="892"/>
      <c r="E29" s="956"/>
      <c r="F29" s="892"/>
      <c r="G29" s="956"/>
      <c r="H29" s="892"/>
      <c r="I29" s="956"/>
      <c r="J29" s="892"/>
      <c r="K29" s="956"/>
      <c r="L29" s="892"/>
      <c r="M29" s="901"/>
      <c r="N29" s="892"/>
    </row>
    <row r="30" spans="1:17" ht="27.75" customHeight="1" x14ac:dyDescent="0.2">
      <c r="A30" s="1839" t="s">
        <v>524</v>
      </c>
      <c r="B30" s="1838"/>
      <c r="C30" s="1838"/>
      <c r="D30" s="1838"/>
      <c r="E30" s="1838"/>
      <c r="F30" s="1838"/>
      <c r="G30" s="1838"/>
      <c r="H30" s="1838"/>
      <c r="I30" s="1838"/>
      <c r="J30" s="1838"/>
      <c r="K30" s="1838"/>
      <c r="L30" s="1838"/>
      <c r="M30" s="1838"/>
      <c r="N30" s="1838"/>
      <c r="O30" s="1502"/>
      <c r="P30" s="1502"/>
      <c r="Q30" s="1503"/>
    </row>
    <row r="31" spans="1:17" ht="25.5" customHeight="1" x14ac:dyDescent="0.2">
      <c r="A31" s="1839"/>
      <c r="B31" s="1838"/>
      <c r="C31" s="1838"/>
      <c r="D31" s="1838"/>
      <c r="E31" s="1838"/>
      <c r="F31" s="1838"/>
      <c r="G31" s="1838"/>
      <c r="H31" s="1838"/>
      <c r="I31" s="1838"/>
      <c r="J31" s="1838"/>
      <c r="K31" s="1838"/>
      <c r="L31" s="1838"/>
      <c r="M31" s="1838"/>
      <c r="N31" s="1838"/>
      <c r="O31" s="1494"/>
      <c r="P31" s="1494"/>
    </row>
    <row r="32" spans="1:17" x14ac:dyDescent="0.2">
      <c r="A32" s="1839"/>
      <c r="B32" s="1838"/>
      <c r="C32" s="1838"/>
      <c r="D32" s="1838"/>
      <c r="E32" s="1838"/>
      <c r="F32" s="1838"/>
      <c r="G32" s="1838"/>
      <c r="H32" s="1838"/>
      <c r="I32" s="1838"/>
      <c r="J32" s="1838"/>
      <c r="K32" s="1838"/>
      <c r="L32" s="1838"/>
      <c r="M32" s="1838"/>
      <c r="N32" s="1838"/>
      <c r="O32" s="1502"/>
      <c r="P32" s="1502"/>
    </row>
    <row r="33" spans="1:17" ht="14.1" customHeight="1" x14ac:dyDescent="0.2">
      <c r="A33" s="1736"/>
      <c r="B33" s="1736"/>
      <c r="C33" s="1736"/>
      <c r="D33" s="1736"/>
      <c r="E33" s="1736"/>
      <c r="F33" s="1736"/>
      <c r="G33" s="1736"/>
      <c r="H33" s="1736"/>
      <c r="I33" s="1736"/>
      <c r="J33" s="1736"/>
      <c r="K33" s="1736"/>
      <c r="L33" s="1736"/>
      <c r="M33" s="1736"/>
      <c r="N33" s="1736"/>
      <c r="O33" s="1502"/>
      <c r="P33" s="1502"/>
    </row>
    <row r="34" spans="1:17" ht="27" customHeight="1" x14ac:dyDescent="0.2">
      <c r="A34" s="1736"/>
      <c r="B34" s="1736"/>
      <c r="C34" s="1736"/>
      <c r="D34" s="1736"/>
      <c r="E34" s="1736"/>
      <c r="F34" s="1736"/>
      <c r="G34" s="1736"/>
      <c r="H34" s="1736"/>
      <c r="I34" s="1736"/>
      <c r="J34" s="1736"/>
      <c r="K34" s="1736"/>
      <c r="L34" s="1736"/>
      <c r="M34" s="1736"/>
      <c r="N34" s="1736"/>
      <c r="O34" s="1502"/>
      <c r="P34" s="1502"/>
    </row>
    <row r="35" spans="1:17" ht="14.1" customHeight="1" x14ac:dyDescent="0.2">
      <c r="A35" s="1837"/>
      <c r="B35" s="1838"/>
      <c r="C35" s="1838"/>
      <c r="D35" s="1838"/>
      <c r="E35" s="1838"/>
      <c r="F35" s="1838"/>
      <c r="G35" s="1838"/>
      <c r="H35" s="1838"/>
      <c r="I35" s="1838"/>
      <c r="J35" s="1838"/>
      <c r="K35" s="1838"/>
      <c r="L35" s="1838"/>
      <c r="M35" s="1838"/>
      <c r="N35" s="1838"/>
      <c r="O35" s="1502"/>
      <c r="P35" s="1502"/>
    </row>
    <row r="36" spans="1:17" ht="14.1" customHeight="1" x14ac:dyDescent="0.2">
      <c r="A36" s="1837"/>
      <c r="B36" s="1838"/>
      <c r="C36" s="1838"/>
      <c r="D36" s="1838"/>
      <c r="E36" s="1838"/>
      <c r="F36" s="1838"/>
      <c r="G36" s="1838"/>
      <c r="H36" s="1838"/>
      <c r="I36" s="1838"/>
      <c r="J36" s="1838"/>
      <c r="K36" s="1838"/>
      <c r="L36" s="1838"/>
      <c r="M36" s="1838"/>
      <c r="N36" s="1838"/>
      <c r="O36" s="1502"/>
      <c r="P36" s="1502"/>
    </row>
    <row r="37" spans="1:17" ht="14.1" customHeight="1" x14ac:dyDescent="0.2">
      <c r="A37" s="1837"/>
      <c r="B37" s="1838"/>
      <c r="C37" s="1838"/>
      <c r="D37" s="1838"/>
      <c r="E37" s="1838"/>
      <c r="F37" s="1838"/>
      <c r="G37" s="1838"/>
      <c r="H37" s="1838"/>
      <c r="I37" s="1838"/>
      <c r="J37" s="1838"/>
      <c r="K37" s="1838"/>
      <c r="L37" s="1838"/>
      <c r="M37" s="1838"/>
      <c r="N37" s="1838"/>
      <c r="O37" s="1502"/>
      <c r="P37" s="1502"/>
    </row>
    <row r="38" spans="1:17" ht="14.1" customHeight="1" x14ac:dyDescent="0.2">
      <c r="A38" s="1504"/>
      <c r="B38" s="1502"/>
      <c r="C38" s="1502"/>
      <c r="D38" s="1502"/>
      <c r="E38" s="1502"/>
      <c r="F38" s="1502"/>
      <c r="G38" s="1502"/>
      <c r="H38" s="1502"/>
      <c r="I38" s="1502"/>
      <c r="J38" s="1502"/>
      <c r="K38" s="1502"/>
      <c r="L38" s="1502"/>
      <c r="M38" s="1502"/>
      <c r="N38" s="1502"/>
      <c r="O38" s="1502"/>
      <c r="P38" s="1502"/>
    </row>
    <row r="39" spans="1:17" ht="14.1" customHeight="1" x14ac:dyDescent="0.2">
      <c r="A39" s="1504"/>
      <c r="B39" s="1502"/>
      <c r="C39" s="1502"/>
      <c r="D39" s="1502"/>
      <c r="E39" s="1502"/>
      <c r="F39" s="1502"/>
      <c r="G39" s="1502"/>
      <c r="H39" s="1502"/>
      <c r="I39" s="1502"/>
      <c r="J39" s="1502"/>
      <c r="K39" s="1502"/>
      <c r="L39" s="1502"/>
      <c r="M39" s="1502"/>
      <c r="N39" s="1502"/>
      <c r="O39" s="1502"/>
      <c r="P39" s="1502"/>
    </row>
    <row r="40" spans="1:17" ht="14.1" customHeight="1" x14ac:dyDescent="0.2">
      <c r="A40" s="1504"/>
      <c r="B40" s="1502"/>
      <c r="C40" s="1502"/>
      <c r="D40" s="1502"/>
      <c r="E40" s="1502"/>
      <c r="F40" s="1502"/>
      <c r="G40" s="1502"/>
      <c r="H40" s="1502"/>
      <c r="I40" s="1502"/>
      <c r="J40" s="1502"/>
      <c r="K40" s="1502"/>
      <c r="L40" s="1502"/>
      <c r="M40" s="1502"/>
      <c r="N40" s="1502"/>
      <c r="O40" s="1502"/>
      <c r="P40" s="1502"/>
    </row>
    <row r="41" spans="1:17" ht="14.1" customHeight="1" x14ac:dyDescent="0.2">
      <c r="A41" s="1504"/>
      <c r="B41" s="1502"/>
      <c r="C41" s="1502"/>
      <c r="D41" s="1502"/>
      <c r="E41" s="1502"/>
      <c r="F41" s="1502"/>
      <c r="G41" s="1502"/>
      <c r="H41" s="1502"/>
      <c r="I41" s="1502"/>
      <c r="J41" s="1502"/>
      <c r="K41" s="1502"/>
      <c r="L41" s="1502"/>
      <c r="M41" s="1502"/>
      <c r="N41" s="1502"/>
      <c r="O41" s="1502"/>
      <c r="P41" s="1502"/>
    </row>
    <row r="42" spans="1:17" ht="14.1" customHeight="1" x14ac:dyDescent="0.2">
      <c r="A42" s="1504"/>
      <c r="B42" s="1502"/>
      <c r="C42" s="1502"/>
      <c r="D42" s="1502"/>
      <c r="E42" s="1502"/>
      <c r="F42" s="1502"/>
      <c r="G42" s="1502"/>
      <c r="H42" s="1502"/>
      <c r="I42" s="1502"/>
      <c r="J42" s="1502"/>
      <c r="K42" s="1502"/>
      <c r="L42" s="1502"/>
      <c r="M42" s="1502"/>
      <c r="N42" s="1502"/>
      <c r="O42" s="1502"/>
      <c r="P42" s="1502"/>
    </row>
    <row r="43" spans="1:17" ht="14.1" customHeight="1" x14ac:dyDescent="0.2">
      <c r="A43" s="1504"/>
      <c r="B43" s="1502"/>
      <c r="C43" s="1502"/>
      <c r="D43" s="1502"/>
      <c r="E43" s="1502"/>
      <c r="F43" s="1502"/>
      <c r="G43" s="1502"/>
      <c r="H43" s="1502"/>
      <c r="I43" s="1502"/>
      <c r="J43" s="1502"/>
      <c r="K43" s="1502"/>
      <c r="L43" s="1502"/>
      <c r="M43" s="1502"/>
      <c r="N43" s="1502"/>
      <c r="O43" s="1502"/>
      <c r="P43" s="1502"/>
    </row>
    <row r="44" spans="1:17" ht="14.1" customHeight="1" x14ac:dyDescent="0.2">
      <c r="A44" s="1504"/>
      <c r="B44" s="1502"/>
      <c r="C44" s="1502"/>
      <c r="D44" s="1502"/>
      <c r="E44" s="1502"/>
      <c r="F44" s="1502"/>
      <c r="G44" s="1502"/>
      <c r="H44" s="1502"/>
      <c r="I44" s="1502"/>
      <c r="J44" s="1502"/>
      <c r="K44" s="1502"/>
      <c r="L44" s="1502"/>
      <c r="M44" s="1502"/>
      <c r="N44" s="1502"/>
      <c r="O44" s="1502"/>
      <c r="P44" s="1502"/>
    </row>
    <row r="45" spans="1:17" ht="14.1" customHeight="1" x14ac:dyDescent="0.2">
      <c r="A45" s="1504"/>
      <c r="B45" s="1502"/>
      <c r="C45" s="1502"/>
      <c r="D45" s="1502"/>
      <c r="E45" s="1502"/>
      <c r="F45" s="1502"/>
      <c r="G45" s="1502"/>
      <c r="H45" s="1502"/>
      <c r="I45" s="1502"/>
      <c r="J45" s="1502"/>
      <c r="K45" s="1502"/>
      <c r="L45" s="1502"/>
      <c r="M45" s="1502"/>
      <c r="N45" s="1502"/>
      <c r="O45" s="1502"/>
      <c r="P45" s="1502"/>
      <c r="Q45" s="1505"/>
    </row>
    <row r="46" spans="1:17" ht="14.1" customHeight="1" x14ac:dyDescent="0.2">
      <c r="B46" s="1490"/>
      <c r="C46" s="1490"/>
      <c r="D46" s="1490"/>
      <c r="E46" s="1490"/>
      <c r="F46" s="1490"/>
      <c r="G46" s="1490"/>
      <c r="H46" s="1490"/>
    </row>
    <row r="47" spans="1:17" ht="14.1" customHeight="1" x14ac:dyDescent="0.2">
      <c r="B47" s="1490"/>
      <c r="C47" s="1490"/>
      <c r="D47" s="1490"/>
      <c r="E47" s="1490"/>
      <c r="F47" s="1490"/>
      <c r="G47" s="1490"/>
      <c r="H47" s="1490"/>
    </row>
    <row r="48" spans="1:17" ht="14.1" customHeight="1" x14ac:dyDescent="0.2">
      <c r="B48" s="1490"/>
      <c r="C48" s="1490"/>
      <c r="D48" s="1490"/>
      <c r="E48" s="1490"/>
      <c r="F48" s="1490"/>
      <c r="G48" s="1490"/>
      <c r="H48" s="1490"/>
    </row>
    <row r="49" spans="2:8" ht="14.1" customHeight="1" x14ac:dyDescent="0.2">
      <c r="B49" s="1490"/>
      <c r="C49" s="1490"/>
      <c r="D49" s="1490"/>
      <c r="E49" s="1490"/>
      <c r="F49" s="1490"/>
      <c r="G49" s="1490"/>
      <c r="H49" s="1490"/>
    </row>
    <row r="50" spans="2:8" ht="14.1" customHeight="1" x14ac:dyDescent="0.2">
      <c r="B50" s="1490"/>
      <c r="C50" s="1490"/>
      <c r="D50" s="1490"/>
      <c r="E50" s="1490"/>
      <c r="F50" s="1490"/>
      <c r="G50" s="1490"/>
      <c r="H50" s="1490"/>
    </row>
    <row r="51" spans="2:8" ht="14.1" customHeight="1" x14ac:dyDescent="0.2">
      <c r="B51" s="1490"/>
      <c r="C51" s="1490"/>
      <c r="D51" s="1490"/>
      <c r="E51" s="1490"/>
      <c r="F51" s="1490"/>
      <c r="G51" s="1490"/>
      <c r="H51" s="1490"/>
    </row>
    <row r="52" spans="2:8" ht="14.1" customHeight="1" x14ac:dyDescent="0.2">
      <c r="B52" s="1490"/>
      <c r="C52" s="1490"/>
      <c r="D52" s="1490"/>
      <c r="E52" s="1490"/>
      <c r="F52" s="1490"/>
      <c r="G52" s="1490"/>
      <c r="H52" s="1490"/>
    </row>
    <row r="53" spans="2:8" ht="14.1" customHeight="1" x14ac:dyDescent="0.2">
      <c r="B53" s="1490"/>
      <c r="C53" s="1490"/>
      <c r="D53" s="1490"/>
      <c r="E53" s="1490"/>
      <c r="F53" s="1490"/>
      <c r="G53" s="1490"/>
      <c r="H53" s="1490"/>
    </row>
    <row r="54" spans="2:8" ht="14.1" customHeight="1" x14ac:dyDescent="0.2">
      <c r="B54" s="1490"/>
      <c r="C54" s="1490"/>
      <c r="D54" s="1490"/>
      <c r="E54" s="1490"/>
      <c r="F54" s="1490"/>
      <c r="G54" s="1490"/>
      <c r="H54" s="1490"/>
    </row>
    <row r="55" spans="2:8" ht="14.1" customHeight="1" x14ac:dyDescent="0.2">
      <c r="B55" s="1490"/>
      <c r="C55" s="1490"/>
      <c r="D55" s="1490"/>
      <c r="E55" s="1490"/>
      <c r="F55" s="1490"/>
      <c r="G55" s="1490"/>
      <c r="H55" s="1490"/>
    </row>
    <row r="56" spans="2:8" ht="14.1" customHeight="1" x14ac:dyDescent="0.2">
      <c r="B56" s="1490"/>
      <c r="C56" s="1490"/>
      <c r="D56" s="1490"/>
      <c r="E56" s="1490"/>
      <c r="F56" s="1490"/>
      <c r="G56" s="1490"/>
      <c r="H56" s="1490"/>
    </row>
    <row r="57" spans="2:8" ht="14.1" customHeight="1" x14ac:dyDescent="0.2">
      <c r="B57" s="1490"/>
      <c r="C57" s="1490"/>
      <c r="D57" s="1490"/>
      <c r="E57" s="1490"/>
      <c r="F57" s="1490"/>
      <c r="G57" s="1490"/>
      <c r="H57" s="1490"/>
    </row>
    <row r="58" spans="2:8" ht="14.1" customHeight="1" x14ac:dyDescent="0.2">
      <c r="B58" s="1490"/>
      <c r="C58" s="1490"/>
      <c r="D58" s="1490"/>
      <c r="E58" s="1490"/>
      <c r="F58" s="1490"/>
      <c r="G58" s="1490"/>
      <c r="H58" s="1490"/>
    </row>
    <row r="59" spans="2:8" ht="14.1" customHeight="1" x14ac:dyDescent="0.2">
      <c r="B59" s="1490"/>
      <c r="C59" s="1490"/>
      <c r="D59" s="1490"/>
      <c r="E59" s="1490"/>
      <c r="F59" s="1490"/>
      <c r="G59" s="1490"/>
      <c r="H59" s="1490"/>
    </row>
    <row r="60" spans="2:8" ht="14.1" customHeight="1" x14ac:dyDescent="0.2">
      <c r="B60" s="1490"/>
      <c r="C60" s="1490"/>
      <c r="D60" s="1490"/>
      <c r="E60" s="1490"/>
      <c r="F60" s="1490"/>
      <c r="G60" s="1490"/>
      <c r="H60" s="1490"/>
    </row>
    <row r="61" spans="2:8" ht="14.1" customHeight="1" x14ac:dyDescent="0.2">
      <c r="B61" s="1490"/>
      <c r="C61" s="1490"/>
      <c r="D61" s="1490"/>
      <c r="E61" s="1490"/>
      <c r="F61" s="1490"/>
      <c r="G61" s="1490"/>
      <c r="H61" s="1490"/>
    </row>
    <row r="62" spans="2:8" ht="14.1" customHeight="1" x14ac:dyDescent="0.2">
      <c r="B62" s="1490"/>
      <c r="C62" s="1490"/>
      <c r="D62" s="1490"/>
      <c r="E62" s="1490"/>
      <c r="F62" s="1490"/>
      <c r="G62" s="1490"/>
      <c r="H62" s="1490"/>
    </row>
    <row r="63" spans="2:8" ht="14.1" customHeight="1" x14ac:dyDescent="0.2">
      <c r="B63" s="1490"/>
      <c r="C63" s="1490"/>
      <c r="D63" s="1490"/>
      <c r="E63" s="1490"/>
      <c r="F63" s="1490"/>
      <c r="G63" s="1490"/>
      <c r="H63" s="1490"/>
    </row>
    <row r="64" spans="2:8" ht="14.1" customHeight="1" x14ac:dyDescent="0.2">
      <c r="B64" s="1490"/>
      <c r="C64" s="1490"/>
      <c r="D64" s="1490"/>
      <c r="E64" s="1490"/>
      <c r="F64" s="1490"/>
      <c r="G64" s="1490"/>
      <c r="H64" s="1490"/>
    </row>
    <row r="65" spans="2:8" ht="14.1" customHeight="1" x14ac:dyDescent="0.2">
      <c r="B65" s="1490"/>
      <c r="C65" s="1490"/>
      <c r="D65" s="1490"/>
      <c r="E65" s="1490"/>
      <c r="F65" s="1490"/>
      <c r="G65" s="1490"/>
      <c r="H65" s="1490"/>
    </row>
    <row r="66" spans="2:8" ht="14.1" customHeight="1" x14ac:dyDescent="0.2">
      <c r="B66" s="1490"/>
      <c r="C66" s="1490"/>
      <c r="D66" s="1490"/>
      <c r="E66" s="1490"/>
      <c r="F66" s="1490"/>
      <c r="G66" s="1490"/>
      <c r="H66" s="1490"/>
    </row>
    <row r="67" spans="2:8" ht="14.1" customHeight="1" x14ac:dyDescent="0.2">
      <c r="B67" s="1490"/>
      <c r="C67" s="1490"/>
      <c r="D67" s="1490"/>
      <c r="E67" s="1490"/>
      <c r="F67" s="1490"/>
      <c r="G67" s="1490"/>
      <c r="H67" s="1490"/>
    </row>
    <row r="68" spans="2:8" ht="14.1" customHeight="1" x14ac:dyDescent="0.2">
      <c r="B68" s="1490"/>
      <c r="C68" s="1490"/>
      <c r="D68" s="1490"/>
      <c r="E68" s="1490"/>
      <c r="F68" s="1490"/>
      <c r="G68" s="1490"/>
      <c r="H68" s="1490"/>
    </row>
    <row r="69" spans="2:8" ht="14.1" customHeight="1" x14ac:dyDescent="0.2">
      <c r="B69" s="1490"/>
      <c r="C69" s="1490"/>
      <c r="D69" s="1490"/>
      <c r="E69" s="1490"/>
      <c r="F69" s="1490"/>
      <c r="G69" s="1490"/>
      <c r="H69" s="1490"/>
    </row>
    <row r="70" spans="2:8" ht="14.1" customHeight="1" x14ac:dyDescent="0.2">
      <c r="B70" s="1490"/>
      <c r="C70" s="1490"/>
      <c r="D70" s="1490"/>
      <c r="E70" s="1490"/>
      <c r="F70" s="1490"/>
      <c r="G70" s="1490"/>
      <c r="H70" s="1490"/>
    </row>
    <row r="71" spans="2:8" ht="14.1" customHeight="1" x14ac:dyDescent="0.2">
      <c r="B71" s="1490"/>
      <c r="C71" s="1490"/>
      <c r="D71" s="1490"/>
      <c r="E71" s="1490"/>
      <c r="F71" s="1490"/>
      <c r="G71" s="1490"/>
      <c r="H71" s="1490"/>
    </row>
    <row r="72" spans="2:8" ht="14.1" customHeight="1" x14ac:dyDescent="0.2">
      <c r="B72" s="1490"/>
      <c r="C72" s="1490"/>
      <c r="D72" s="1490"/>
      <c r="E72" s="1490"/>
      <c r="F72" s="1490"/>
      <c r="G72" s="1490"/>
      <c r="H72" s="1490"/>
    </row>
    <row r="73" spans="2:8" ht="14.1" customHeight="1" x14ac:dyDescent="0.2">
      <c r="B73" s="1490"/>
      <c r="C73" s="1490"/>
      <c r="D73" s="1490"/>
      <c r="E73" s="1490"/>
      <c r="F73" s="1490"/>
      <c r="G73" s="1490"/>
      <c r="H73" s="1490"/>
    </row>
    <row r="74" spans="2:8" ht="14.1" customHeight="1" x14ac:dyDescent="0.2">
      <c r="B74" s="1490"/>
      <c r="C74" s="1490"/>
      <c r="D74" s="1490"/>
      <c r="E74" s="1490"/>
      <c r="F74" s="1490"/>
      <c r="G74" s="1490"/>
      <c r="H74" s="1490"/>
    </row>
    <row r="75" spans="2:8" ht="14.1" customHeight="1" x14ac:dyDescent="0.2">
      <c r="B75" s="1490"/>
    </row>
    <row r="76" spans="2:8" ht="14.1" customHeight="1" x14ac:dyDescent="0.2">
      <c r="B76" s="1490"/>
    </row>
    <row r="77" spans="2:8" ht="14.1" customHeight="1" x14ac:dyDescent="0.2">
      <c r="B77" s="1490"/>
    </row>
    <row r="78" spans="2:8" ht="14.1" customHeight="1" x14ac:dyDescent="0.2">
      <c r="B78" s="1490"/>
    </row>
    <row r="79" spans="2:8" ht="14.1" customHeight="1" x14ac:dyDescent="0.2">
      <c r="B79" s="1490"/>
    </row>
    <row r="80" spans="2:8" ht="14.1" customHeight="1" x14ac:dyDescent="0.2">
      <c r="B80" s="1490"/>
    </row>
    <row r="81" spans="2:2" ht="14.1" customHeight="1" x14ac:dyDescent="0.2">
      <c r="B81" s="1490"/>
    </row>
    <row r="82" spans="2:2" ht="14.1" customHeight="1" x14ac:dyDescent="0.2">
      <c r="B82" s="1490"/>
    </row>
    <row r="83" spans="2:2" ht="14.1" customHeight="1" x14ac:dyDescent="0.2">
      <c r="B83" s="1490"/>
    </row>
    <row r="84" spans="2:2" ht="14.1" customHeight="1" x14ac:dyDescent="0.2">
      <c r="B84" s="1490"/>
    </row>
    <row r="85" spans="2:2" ht="14.1" customHeight="1" x14ac:dyDescent="0.2">
      <c r="B85" s="1490"/>
    </row>
    <row r="86" spans="2:2" ht="14.1" customHeight="1" x14ac:dyDescent="0.2">
      <c r="B86" s="1490"/>
    </row>
    <row r="87" spans="2:2" ht="14.1" customHeight="1" x14ac:dyDescent="0.2">
      <c r="B87" s="1490"/>
    </row>
    <row r="88" spans="2:2" ht="14.1" customHeight="1" x14ac:dyDescent="0.2">
      <c r="B88" s="1490"/>
    </row>
    <row r="89" spans="2:2" ht="14.1" customHeight="1" x14ac:dyDescent="0.2">
      <c r="B89" s="1490"/>
    </row>
    <row r="90" spans="2:2" ht="14.1" customHeight="1" x14ac:dyDescent="0.2">
      <c r="B90" s="1490"/>
    </row>
    <row r="91" spans="2:2" ht="14.1" customHeight="1" x14ac:dyDescent="0.2">
      <c r="B91" s="1490"/>
    </row>
    <row r="92" spans="2:2" ht="14.1" customHeight="1" x14ac:dyDescent="0.2"/>
    <row r="93" spans="2:2" ht="14.1" customHeight="1" x14ac:dyDescent="0.2"/>
    <row r="94" spans="2:2" ht="14.1" customHeight="1" x14ac:dyDescent="0.2"/>
    <row r="95" spans="2:2" ht="14.1" customHeight="1" x14ac:dyDescent="0.2"/>
    <row r="96" spans="2:2"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row r="243" ht="14.1" customHeight="1" x14ac:dyDescent="0.2"/>
    <row r="244" ht="14.1" customHeight="1" x14ac:dyDescent="0.2"/>
    <row r="245" ht="14.1" customHeight="1" x14ac:dyDescent="0.2"/>
    <row r="246" ht="14.1" customHeight="1" x14ac:dyDescent="0.2"/>
    <row r="247" ht="14.1" customHeight="1" x14ac:dyDescent="0.2"/>
    <row r="248" ht="14.1" customHeight="1" x14ac:dyDescent="0.2"/>
    <row r="249" ht="14.1" customHeight="1" x14ac:dyDescent="0.2"/>
    <row r="250" ht="14.1" customHeight="1" x14ac:dyDescent="0.2"/>
    <row r="251" ht="14.1" customHeight="1" x14ac:dyDescent="0.2"/>
    <row r="252" ht="14.1" customHeight="1" x14ac:dyDescent="0.2"/>
    <row r="253" ht="14.1" customHeight="1" x14ac:dyDescent="0.2"/>
    <row r="254" ht="14.1" customHeight="1" x14ac:dyDescent="0.2"/>
    <row r="255" ht="14.1" customHeight="1" x14ac:dyDescent="0.2"/>
    <row r="256" ht="14.1" customHeight="1" x14ac:dyDescent="0.2"/>
    <row r="257" ht="14.1" customHeight="1" x14ac:dyDescent="0.2"/>
    <row r="258" ht="14.1" customHeight="1" x14ac:dyDescent="0.2"/>
    <row r="259" ht="14.1" customHeight="1" x14ac:dyDescent="0.2"/>
    <row r="260" ht="14.1" customHeight="1" x14ac:dyDescent="0.2"/>
    <row r="261" ht="14.1" customHeight="1" x14ac:dyDescent="0.2"/>
    <row r="262" ht="14.1" customHeight="1" x14ac:dyDescent="0.2"/>
    <row r="263" ht="14.1" customHeight="1" x14ac:dyDescent="0.2"/>
    <row r="264" ht="14.1" customHeight="1" x14ac:dyDescent="0.2"/>
    <row r="265" ht="14.1" customHeight="1" x14ac:dyDescent="0.2"/>
    <row r="266" ht="14.1" customHeight="1" x14ac:dyDescent="0.2"/>
    <row r="267" ht="14.1" customHeight="1" x14ac:dyDescent="0.2"/>
    <row r="268" ht="14.1" customHeight="1" x14ac:dyDescent="0.2"/>
    <row r="269" ht="14.1" customHeight="1" x14ac:dyDescent="0.2"/>
    <row r="270" ht="14.1" customHeight="1" x14ac:dyDescent="0.2"/>
    <row r="271" ht="14.1" customHeight="1" x14ac:dyDescent="0.2"/>
    <row r="272" ht="14.1" customHeight="1" x14ac:dyDescent="0.2"/>
    <row r="273" ht="14.1" customHeight="1" x14ac:dyDescent="0.2"/>
    <row r="274" ht="14.1" customHeight="1" x14ac:dyDescent="0.2"/>
    <row r="275" ht="14.1" customHeight="1" x14ac:dyDescent="0.2"/>
    <row r="276" ht="14.1" customHeight="1" x14ac:dyDescent="0.2"/>
    <row r="277" ht="14.1" customHeight="1" x14ac:dyDescent="0.2"/>
    <row r="278" ht="14.1" customHeight="1" x14ac:dyDescent="0.2"/>
    <row r="279" ht="14.1" customHeight="1" x14ac:dyDescent="0.2"/>
    <row r="280" ht="14.1" customHeight="1" x14ac:dyDescent="0.2"/>
    <row r="281" ht="14.1" customHeight="1" x14ac:dyDescent="0.2"/>
    <row r="282" ht="14.1" customHeight="1" x14ac:dyDescent="0.2"/>
    <row r="283" ht="14.1" customHeight="1" x14ac:dyDescent="0.2"/>
    <row r="284" ht="14.1" customHeight="1" x14ac:dyDescent="0.2"/>
    <row r="285" ht="14.1" customHeight="1" x14ac:dyDescent="0.2"/>
    <row r="286" ht="14.1" customHeight="1" x14ac:dyDescent="0.2"/>
    <row r="287" ht="14.1" customHeight="1" x14ac:dyDescent="0.2"/>
    <row r="288" ht="14.1" customHeight="1" x14ac:dyDescent="0.2"/>
    <row r="289" ht="14.1" customHeight="1" x14ac:dyDescent="0.2"/>
    <row r="290" ht="14.1" customHeight="1" x14ac:dyDescent="0.2"/>
    <row r="291" ht="14.1" customHeight="1" x14ac:dyDescent="0.2"/>
    <row r="292" ht="14.1" customHeight="1" x14ac:dyDescent="0.2"/>
    <row r="293" ht="14.1" customHeight="1" x14ac:dyDescent="0.2"/>
    <row r="294" ht="14.1" customHeight="1" x14ac:dyDescent="0.2"/>
    <row r="295" ht="14.1" customHeight="1" x14ac:dyDescent="0.2"/>
    <row r="296" ht="14.1" customHeight="1" x14ac:dyDescent="0.2"/>
    <row r="297" ht="14.1" customHeight="1" x14ac:dyDescent="0.2"/>
    <row r="298" ht="14.1" customHeight="1" x14ac:dyDescent="0.2"/>
    <row r="299" ht="14.1" customHeight="1" x14ac:dyDescent="0.2"/>
    <row r="300" ht="14.1" customHeight="1" x14ac:dyDescent="0.2"/>
    <row r="301" ht="14.1" customHeight="1" x14ac:dyDescent="0.2"/>
    <row r="302" ht="14.1" customHeight="1" x14ac:dyDescent="0.2"/>
    <row r="303" ht="14.1" customHeight="1" x14ac:dyDescent="0.2"/>
    <row r="304" ht="14.1" customHeight="1" x14ac:dyDescent="0.2"/>
    <row r="305" ht="14.1" customHeight="1" x14ac:dyDescent="0.2"/>
    <row r="306" ht="14.1" customHeight="1" x14ac:dyDescent="0.2"/>
    <row r="307" ht="14.1" customHeight="1" x14ac:dyDescent="0.2"/>
    <row r="308" ht="14.1" customHeight="1" x14ac:dyDescent="0.2"/>
    <row r="309" ht="14.1" customHeight="1" x14ac:dyDescent="0.2"/>
    <row r="310" ht="14.1" customHeight="1" x14ac:dyDescent="0.2"/>
    <row r="311" ht="14.1" customHeight="1" x14ac:dyDescent="0.2"/>
    <row r="312" ht="14.1" customHeight="1" x14ac:dyDescent="0.2"/>
    <row r="313" ht="14.1" customHeight="1" x14ac:dyDescent="0.2"/>
    <row r="314" ht="14.1" customHeight="1" x14ac:dyDescent="0.2"/>
    <row r="315" ht="14.1" customHeight="1" x14ac:dyDescent="0.2"/>
    <row r="316" ht="14.1" customHeight="1" x14ac:dyDescent="0.2"/>
    <row r="317" ht="14.1" customHeight="1" x14ac:dyDescent="0.2"/>
    <row r="318" ht="14.1" customHeight="1" x14ac:dyDescent="0.2"/>
    <row r="319" ht="14.1" customHeight="1" x14ac:dyDescent="0.2"/>
    <row r="320" ht="14.1" customHeight="1" x14ac:dyDescent="0.2"/>
    <row r="321" ht="14.1" customHeight="1" x14ac:dyDescent="0.2"/>
    <row r="322" ht="14.1" customHeight="1" x14ac:dyDescent="0.2"/>
    <row r="323" ht="14.1" customHeight="1" x14ac:dyDescent="0.2"/>
    <row r="324" ht="14.1" customHeight="1" x14ac:dyDescent="0.2"/>
    <row r="325" ht="14.1" customHeight="1" x14ac:dyDescent="0.2"/>
    <row r="326" ht="14.1" customHeight="1" x14ac:dyDescent="0.2"/>
    <row r="327" ht="14.1" customHeight="1" x14ac:dyDescent="0.2"/>
    <row r="328" ht="14.1" customHeight="1" x14ac:dyDescent="0.2"/>
    <row r="329" ht="14.1" customHeight="1" x14ac:dyDescent="0.2"/>
    <row r="330" ht="14.1" customHeight="1" x14ac:dyDescent="0.2"/>
    <row r="331" ht="14.1" customHeight="1" x14ac:dyDescent="0.2"/>
    <row r="332" ht="14.1" customHeight="1" x14ac:dyDescent="0.2"/>
    <row r="333" ht="14.1" customHeight="1" x14ac:dyDescent="0.2"/>
    <row r="334" ht="14.1" customHeight="1" x14ac:dyDescent="0.2"/>
    <row r="335" ht="14.1" customHeight="1" x14ac:dyDescent="0.2"/>
    <row r="336" ht="14.1" customHeight="1" x14ac:dyDescent="0.2"/>
    <row r="337" ht="14.1" customHeight="1" x14ac:dyDescent="0.2"/>
    <row r="338" ht="14.1" customHeight="1" x14ac:dyDescent="0.2"/>
    <row r="339" ht="14.1" customHeight="1" x14ac:dyDescent="0.2"/>
    <row r="340" ht="14.1" customHeight="1" x14ac:dyDescent="0.2"/>
    <row r="341" ht="14.1" customHeight="1" x14ac:dyDescent="0.2"/>
    <row r="342" ht="14.1" customHeight="1" x14ac:dyDescent="0.2"/>
    <row r="343" ht="14.1" customHeight="1" x14ac:dyDescent="0.2"/>
    <row r="344" ht="14.1" customHeight="1" x14ac:dyDescent="0.2"/>
    <row r="345" ht="14.1" customHeight="1" x14ac:dyDescent="0.2"/>
    <row r="346" ht="14.1" customHeight="1" x14ac:dyDescent="0.2"/>
    <row r="347" ht="14.1" customHeight="1" x14ac:dyDescent="0.2"/>
    <row r="348" ht="14.1" customHeight="1" x14ac:dyDescent="0.2"/>
    <row r="349" ht="14.1" customHeight="1" x14ac:dyDescent="0.2"/>
    <row r="350" ht="14.1" customHeight="1" x14ac:dyDescent="0.2"/>
    <row r="351" ht="14.1" customHeight="1" x14ac:dyDescent="0.2"/>
    <row r="352" ht="14.1" customHeight="1" x14ac:dyDescent="0.2"/>
    <row r="353" ht="14.1" customHeight="1" x14ac:dyDescent="0.2"/>
    <row r="354" ht="14.1" customHeight="1" x14ac:dyDescent="0.2"/>
    <row r="355" ht="14.1" customHeight="1" x14ac:dyDescent="0.2"/>
    <row r="356" ht="14.1" customHeight="1" x14ac:dyDescent="0.2"/>
    <row r="357" ht="14.1" customHeight="1" x14ac:dyDescent="0.2"/>
    <row r="358" ht="14.1" customHeight="1" x14ac:dyDescent="0.2"/>
    <row r="359" ht="14.1" customHeight="1" x14ac:dyDescent="0.2"/>
    <row r="360" ht="14.1" customHeight="1" x14ac:dyDescent="0.2"/>
    <row r="361" ht="14.1" customHeight="1" x14ac:dyDescent="0.2"/>
    <row r="362" ht="14.1" customHeight="1" x14ac:dyDescent="0.2"/>
    <row r="363" ht="14.1" customHeight="1" x14ac:dyDescent="0.2"/>
    <row r="364" ht="14.1" customHeight="1" x14ac:dyDescent="0.2"/>
    <row r="365" ht="14.1" customHeight="1" x14ac:dyDescent="0.2"/>
    <row r="366" ht="14.1" customHeight="1" x14ac:dyDescent="0.2"/>
    <row r="367" ht="14.1" customHeight="1" x14ac:dyDescent="0.2"/>
    <row r="368" ht="14.1" customHeight="1" x14ac:dyDescent="0.2"/>
    <row r="369" ht="14.1" customHeight="1" x14ac:dyDescent="0.2"/>
    <row r="370" ht="14.1" customHeight="1" x14ac:dyDescent="0.2"/>
    <row r="371" ht="14.1" customHeight="1" x14ac:dyDescent="0.2"/>
    <row r="372" ht="14.1" customHeight="1" x14ac:dyDescent="0.2"/>
    <row r="373" ht="14.1" customHeight="1" x14ac:dyDescent="0.2"/>
    <row r="374" ht="14.1" customHeight="1" x14ac:dyDescent="0.2"/>
    <row r="375" ht="14.1" customHeight="1" x14ac:dyDescent="0.2"/>
    <row r="376" ht="14.1" customHeight="1" x14ac:dyDescent="0.2"/>
    <row r="377" ht="14.1" customHeight="1" x14ac:dyDescent="0.2"/>
    <row r="378" ht="14.1" customHeight="1" x14ac:dyDescent="0.2"/>
    <row r="379" ht="14.1" customHeight="1" x14ac:dyDescent="0.2"/>
    <row r="380" ht="14.1" customHeight="1" x14ac:dyDescent="0.2"/>
    <row r="381" ht="14.1" customHeight="1" x14ac:dyDescent="0.2"/>
    <row r="382" ht="14.1" customHeight="1" x14ac:dyDescent="0.2"/>
    <row r="383" ht="14.1" customHeight="1" x14ac:dyDescent="0.2"/>
    <row r="384" ht="14.1" customHeight="1" x14ac:dyDescent="0.2"/>
    <row r="385" ht="14.1" customHeight="1" x14ac:dyDescent="0.2"/>
    <row r="386" ht="14.1" customHeight="1" x14ac:dyDescent="0.2"/>
    <row r="387" ht="14.1" customHeight="1" x14ac:dyDescent="0.2"/>
    <row r="388" ht="14.1" customHeight="1" x14ac:dyDescent="0.2"/>
    <row r="389" ht="14.1" customHeight="1" x14ac:dyDescent="0.2"/>
    <row r="390" ht="14.1" customHeight="1" x14ac:dyDescent="0.2"/>
    <row r="391" ht="14.1" customHeight="1" x14ac:dyDescent="0.2"/>
    <row r="392" ht="14.1" customHeight="1" x14ac:dyDescent="0.2"/>
    <row r="393" ht="14.1" customHeight="1" x14ac:dyDescent="0.2"/>
    <row r="394" ht="14.1" customHeight="1" x14ac:dyDescent="0.2"/>
    <row r="395" ht="14.1" customHeight="1" x14ac:dyDescent="0.2"/>
    <row r="396" ht="14.1" customHeight="1" x14ac:dyDescent="0.2"/>
    <row r="397" ht="14.1" customHeight="1" x14ac:dyDescent="0.2"/>
    <row r="398" ht="14.1" customHeight="1" x14ac:dyDescent="0.2"/>
    <row r="399" ht="14.1" customHeight="1" x14ac:dyDescent="0.2"/>
    <row r="400" ht="14.1" customHeight="1" x14ac:dyDescent="0.2"/>
    <row r="401" ht="14.1" customHeight="1" x14ac:dyDescent="0.2"/>
    <row r="402" ht="14.1" customHeight="1" x14ac:dyDescent="0.2"/>
    <row r="403" ht="14.1" customHeight="1" x14ac:dyDescent="0.2"/>
    <row r="404" ht="14.1" customHeight="1" x14ac:dyDescent="0.2"/>
    <row r="405" ht="14.1" customHeight="1" x14ac:dyDescent="0.2"/>
    <row r="406" ht="14.1" customHeight="1" x14ac:dyDescent="0.2"/>
    <row r="407" ht="14.1" customHeight="1" x14ac:dyDescent="0.2"/>
    <row r="408" ht="14.1" customHeight="1" x14ac:dyDescent="0.2"/>
    <row r="409" ht="14.1" customHeight="1" x14ac:dyDescent="0.2"/>
    <row r="410" ht="14.1" customHeight="1" x14ac:dyDescent="0.2"/>
    <row r="411" ht="14.1" customHeight="1" x14ac:dyDescent="0.2"/>
    <row r="412" ht="14.1" customHeight="1" x14ac:dyDescent="0.2"/>
    <row r="413" ht="14.1" customHeight="1" x14ac:dyDescent="0.2"/>
    <row r="414" ht="14.1" customHeight="1" x14ac:dyDescent="0.2"/>
    <row r="415" ht="14.1" customHeight="1" x14ac:dyDescent="0.2"/>
    <row r="416" ht="14.1" customHeight="1" x14ac:dyDescent="0.2"/>
    <row r="417" ht="14.1" customHeight="1" x14ac:dyDescent="0.2"/>
    <row r="418" ht="14.1" customHeight="1" x14ac:dyDescent="0.2"/>
    <row r="419" ht="14.1" customHeight="1" x14ac:dyDescent="0.2"/>
    <row r="420" ht="14.1" customHeight="1" x14ac:dyDescent="0.2"/>
    <row r="421" ht="14.1" customHeight="1" x14ac:dyDescent="0.2"/>
    <row r="422" ht="14.1" customHeight="1" x14ac:dyDescent="0.2"/>
    <row r="423" ht="14.1" customHeight="1" x14ac:dyDescent="0.2"/>
    <row r="424" ht="14.1" customHeight="1" x14ac:dyDescent="0.2"/>
    <row r="425" ht="14.1" customHeight="1" x14ac:dyDescent="0.2"/>
    <row r="426" ht="14.1" customHeight="1" x14ac:dyDescent="0.2"/>
    <row r="427" ht="14.1" customHeight="1" x14ac:dyDescent="0.2"/>
    <row r="428" ht="14.1" customHeight="1" x14ac:dyDescent="0.2"/>
    <row r="429" ht="14.1" customHeight="1" x14ac:dyDescent="0.2"/>
    <row r="430" ht="14.1" customHeight="1" x14ac:dyDescent="0.2"/>
    <row r="431" ht="14.1" customHeight="1" x14ac:dyDescent="0.2"/>
    <row r="432" ht="14.1" customHeight="1" x14ac:dyDescent="0.2"/>
    <row r="433" ht="14.1" customHeight="1" x14ac:dyDescent="0.2"/>
    <row r="434" ht="14.1" customHeight="1" x14ac:dyDescent="0.2"/>
    <row r="435" ht="14.1" customHeight="1" x14ac:dyDescent="0.2"/>
    <row r="436" ht="14.1" customHeight="1" x14ac:dyDescent="0.2"/>
    <row r="437" ht="14.1" customHeight="1" x14ac:dyDescent="0.2"/>
    <row r="438" ht="14.1" customHeight="1" x14ac:dyDescent="0.2"/>
    <row r="439" ht="14.1" customHeight="1" x14ac:dyDescent="0.2"/>
    <row r="440" ht="14.1" customHeight="1" x14ac:dyDescent="0.2"/>
    <row r="441" ht="14.1" customHeight="1" x14ac:dyDescent="0.2"/>
    <row r="442" ht="14.1" customHeight="1" x14ac:dyDescent="0.2"/>
    <row r="443" ht="14.1" customHeight="1" x14ac:dyDescent="0.2"/>
    <row r="444" ht="14.1" customHeight="1" x14ac:dyDescent="0.2"/>
    <row r="445" ht="14.1" customHeight="1" x14ac:dyDescent="0.2"/>
    <row r="446" ht="14.1" customHeight="1" x14ac:dyDescent="0.2"/>
    <row r="447" ht="14.1" customHeight="1" x14ac:dyDescent="0.2"/>
    <row r="448" ht="14.1" customHeight="1" x14ac:dyDescent="0.2"/>
    <row r="449" ht="14.1" customHeight="1" x14ac:dyDescent="0.2"/>
    <row r="450" ht="14.1" customHeight="1" x14ac:dyDescent="0.2"/>
    <row r="451" ht="14.1" customHeight="1" x14ac:dyDescent="0.2"/>
    <row r="452" ht="14.1" customHeight="1" x14ac:dyDescent="0.2"/>
    <row r="453" ht="14.1" customHeight="1" x14ac:dyDescent="0.2"/>
    <row r="454" ht="14.1" customHeight="1" x14ac:dyDescent="0.2"/>
    <row r="455" ht="14.1" customHeight="1" x14ac:dyDescent="0.2"/>
    <row r="456" ht="14.1" customHeight="1" x14ac:dyDescent="0.2"/>
    <row r="457" ht="14.1" customHeight="1" x14ac:dyDescent="0.2"/>
    <row r="458" ht="14.1" customHeight="1" x14ac:dyDescent="0.2"/>
    <row r="459" ht="14.1" customHeight="1" x14ac:dyDescent="0.2"/>
    <row r="460" ht="14.1" customHeight="1" x14ac:dyDescent="0.2"/>
    <row r="461" ht="14.1" customHeight="1" x14ac:dyDescent="0.2"/>
    <row r="462" ht="14.1" customHeight="1" x14ac:dyDescent="0.2"/>
    <row r="463" ht="14.1" customHeight="1" x14ac:dyDescent="0.2"/>
    <row r="464" ht="14.1" customHeight="1" x14ac:dyDescent="0.2"/>
    <row r="465" ht="14.1" customHeight="1" x14ac:dyDescent="0.2"/>
    <row r="466" ht="14.1" customHeight="1" x14ac:dyDescent="0.2"/>
    <row r="467" ht="14.1" customHeight="1" x14ac:dyDescent="0.2"/>
    <row r="468" ht="14.1" customHeight="1" x14ac:dyDescent="0.2"/>
    <row r="469" ht="14.1" customHeight="1" x14ac:dyDescent="0.2"/>
    <row r="470" ht="14.1" customHeight="1" x14ac:dyDescent="0.2"/>
    <row r="471" ht="14.1" customHeight="1" x14ac:dyDescent="0.2"/>
    <row r="472" ht="14.1" customHeight="1" x14ac:dyDescent="0.2"/>
    <row r="473" ht="14.1" customHeight="1" x14ac:dyDescent="0.2"/>
    <row r="474" ht="14.1" customHeight="1" x14ac:dyDescent="0.2"/>
    <row r="475" ht="14.1" customHeight="1" x14ac:dyDescent="0.2"/>
    <row r="476" ht="14.1" customHeight="1" x14ac:dyDescent="0.2"/>
    <row r="477" ht="14.1" customHeight="1" x14ac:dyDescent="0.2"/>
    <row r="478" ht="14.1" customHeight="1" x14ac:dyDescent="0.2"/>
    <row r="479" ht="14.1" customHeight="1" x14ac:dyDescent="0.2"/>
    <row r="480" ht="14.1" customHeight="1" x14ac:dyDescent="0.2"/>
    <row r="481" ht="14.1" customHeight="1" x14ac:dyDescent="0.2"/>
    <row r="482" ht="14.1" customHeight="1" x14ac:dyDescent="0.2"/>
    <row r="483" ht="14.1" customHeight="1" x14ac:dyDescent="0.2"/>
    <row r="484" ht="14.1" customHeight="1" x14ac:dyDescent="0.2"/>
    <row r="485" ht="14.1" customHeight="1" x14ac:dyDescent="0.2"/>
    <row r="486" ht="14.1" customHeight="1" x14ac:dyDescent="0.2"/>
    <row r="487" ht="14.1" customHeight="1" x14ac:dyDescent="0.2"/>
    <row r="488" ht="14.1" customHeight="1" x14ac:dyDescent="0.2"/>
    <row r="489" ht="14.1" customHeight="1" x14ac:dyDescent="0.2"/>
    <row r="490" ht="14.1" customHeight="1" x14ac:dyDescent="0.2"/>
    <row r="491" ht="14.1" customHeight="1" x14ac:dyDescent="0.2"/>
    <row r="492" ht="14.1" customHeight="1" x14ac:dyDescent="0.2"/>
    <row r="493" ht="14.1" customHeight="1" x14ac:dyDescent="0.2"/>
    <row r="494" ht="14.1" customHeight="1" x14ac:dyDescent="0.2"/>
    <row r="495" ht="14.1" customHeight="1" x14ac:dyDescent="0.2"/>
    <row r="496" ht="14.1" customHeight="1" x14ac:dyDescent="0.2"/>
    <row r="497" ht="14.1" customHeight="1" x14ac:dyDescent="0.2"/>
    <row r="498" ht="14.1" customHeight="1" x14ac:dyDescent="0.2"/>
    <row r="499" ht="14.1" customHeight="1" x14ac:dyDescent="0.2"/>
    <row r="500" ht="14.1" customHeight="1" x14ac:dyDescent="0.2"/>
    <row r="501" ht="14.1" customHeight="1" x14ac:dyDescent="0.2"/>
    <row r="502" ht="14.1" customHeight="1" x14ac:dyDescent="0.2"/>
    <row r="503" ht="14.1" customHeight="1" x14ac:dyDescent="0.2"/>
    <row r="504" ht="14.1" customHeight="1" x14ac:dyDescent="0.2"/>
    <row r="505" ht="14.1" customHeight="1" x14ac:dyDescent="0.2"/>
    <row r="506" ht="14.1" customHeight="1" x14ac:dyDescent="0.2"/>
    <row r="507" ht="14.1" customHeight="1" x14ac:dyDescent="0.2"/>
    <row r="508" ht="14.1" customHeight="1" x14ac:dyDescent="0.2"/>
    <row r="509" ht="14.1" customHeight="1" x14ac:dyDescent="0.2"/>
    <row r="510" ht="14.1" customHeight="1" x14ac:dyDescent="0.2"/>
    <row r="511" ht="14.1" customHeight="1" x14ac:dyDescent="0.2"/>
    <row r="512" ht="14.1" customHeight="1" x14ac:dyDescent="0.2"/>
    <row r="513" ht="14.1" customHeight="1" x14ac:dyDescent="0.2"/>
    <row r="514" ht="14.1" customHeight="1" x14ac:dyDescent="0.2"/>
    <row r="515" ht="14.1" customHeight="1" x14ac:dyDescent="0.2"/>
    <row r="516" ht="14.1" customHeight="1" x14ac:dyDescent="0.2"/>
    <row r="517" ht="14.1" customHeight="1" x14ac:dyDescent="0.2"/>
    <row r="518" ht="14.1" customHeight="1" x14ac:dyDescent="0.2"/>
    <row r="519" ht="14.1" customHeight="1" x14ac:dyDescent="0.2"/>
    <row r="520" ht="14.1" customHeight="1" x14ac:dyDescent="0.2"/>
    <row r="521" ht="14.1" customHeight="1" x14ac:dyDescent="0.2"/>
    <row r="522" ht="14.1" customHeight="1" x14ac:dyDescent="0.2"/>
    <row r="523" ht="14.1" customHeight="1" x14ac:dyDescent="0.2"/>
    <row r="524" ht="14.1" customHeight="1" x14ac:dyDescent="0.2"/>
    <row r="525" ht="14.1" customHeight="1" x14ac:dyDescent="0.2"/>
    <row r="526" ht="14.1" customHeight="1" x14ac:dyDescent="0.2"/>
    <row r="527" ht="14.1" customHeight="1" x14ac:dyDescent="0.2"/>
    <row r="528" ht="14.1" customHeight="1" x14ac:dyDescent="0.2"/>
    <row r="529" ht="14.1" customHeight="1" x14ac:dyDescent="0.2"/>
    <row r="530" ht="14.1" customHeight="1" x14ac:dyDescent="0.2"/>
    <row r="531" ht="14.1" customHeight="1" x14ac:dyDescent="0.2"/>
    <row r="532" ht="14.1" customHeight="1" x14ac:dyDescent="0.2"/>
    <row r="533" ht="14.1" customHeight="1" x14ac:dyDescent="0.2"/>
    <row r="534" ht="14.1" customHeight="1" x14ac:dyDescent="0.2"/>
    <row r="535" ht="14.1" customHeight="1" x14ac:dyDescent="0.2"/>
    <row r="536" ht="14.1" customHeight="1" x14ac:dyDescent="0.2"/>
    <row r="537" ht="14.1" customHeight="1" x14ac:dyDescent="0.2"/>
    <row r="538" ht="14.1" customHeight="1" x14ac:dyDescent="0.2"/>
    <row r="539" ht="14.1" customHeight="1" x14ac:dyDescent="0.2"/>
    <row r="540" ht="14.1" customHeight="1" x14ac:dyDescent="0.2"/>
    <row r="541" ht="14.1" customHeight="1" x14ac:dyDescent="0.2"/>
    <row r="542" ht="14.1" customHeight="1" x14ac:dyDescent="0.2"/>
    <row r="543" ht="14.1" customHeight="1" x14ac:dyDescent="0.2"/>
    <row r="544" ht="14.1" customHeight="1" x14ac:dyDescent="0.2"/>
    <row r="545" ht="14.1" customHeight="1" x14ac:dyDescent="0.2"/>
    <row r="546" ht="14.1" customHeight="1" x14ac:dyDescent="0.2"/>
    <row r="547" ht="14.1" customHeight="1" x14ac:dyDescent="0.2"/>
    <row r="548" ht="14.1" customHeight="1" x14ac:dyDescent="0.2"/>
    <row r="549" ht="14.1" customHeight="1" x14ac:dyDescent="0.2"/>
    <row r="550" ht="14.1" customHeight="1" x14ac:dyDescent="0.2"/>
    <row r="551" ht="14.1" customHeight="1" x14ac:dyDescent="0.2"/>
    <row r="552" ht="14.1" customHeight="1" x14ac:dyDescent="0.2"/>
    <row r="553" ht="14.1" customHeight="1" x14ac:dyDescent="0.2"/>
    <row r="554" ht="14.1" customHeight="1" x14ac:dyDescent="0.2"/>
    <row r="555" ht="14.1" customHeight="1" x14ac:dyDescent="0.2"/>
    <row r="556" ht="14.1" customHeight="1" x14ac:dyDescent="0.2"/>
    <row r="557" ht="14.1" customHeight="1" x14ac:dyDescent="0.2"/>
    <row r="558" ht="14.1" customHeight="1" x14ac:dyDescent="0.2"/>
    <row r="559" ht="14.1" customHeight="1" x14ac:dyDescent="0.2"/>
    <row r="560" ht="14.1" customHeight="1" x14ac:dyDescent="0.2"/>
    <row r="561" ht="14.1" customHeight="1" x14ac:dyDescent="0.2"/>
    <row r="562" ht="14.1" customHeight="1" x14ac:dyDescent="0.2"/>
    <row r="563" ht="14.1" customHeight="1" x14ac:dyDescent="0.2"/>
    <row r="564" ht="14.1" customHeight="1" x14ac:dyDescent="0.2"/>
    <row r="565" ht="14.1" customHeight="1" x14ac:dyDescent="0.2"/>
    <row r="566" ht="14.1" customHeight="1" x14ac:dyDescent="0.2"/>
    <row r="567" ht="14.1" customHeight="1" x14ac:dyDescent="0.2"/>
    <row r="568" ht="14.1" customHeight="1" x14ac:dyDescent="0.2"/>
    <row r="569" ht="14.1" customHeight="1" x14ac:dyDescent="0.2"/>
    <row r="570" ht="14.1" customHeight="1" x14ac:dyDescent="0.2"/>
    <row r="571" ht="14.1" customHeight="1" x14ac:dyDescent="0.2"/>
    <row r="572" ht="14.1" customHeight="1" x14ac:dyDescent="0.2"/>
    <row r="573" ht="14.1" customHeight="1" x14ac:dyDescent="0.2"/>
    <row r="574" ht="14.1" customHeight="1" x14ac:dyDescent="0.2"/>
    <row r="575" ht="14.1" customHeight="1" x14ac:dyDescent="0.2"/>
    <row r="576" ht="14.1" customHeight="1" x14ac:dyDescent="0.2"/>
    <row r="577" ht="14.1" customHeight="1" x14ac:dyDescent="0.2"/>
    <row r="578" ht="14.1" customHeight="1" x14ac:dyDescent="0.2"/>
    <row r="579" ht="14.1" customHeight="1" x14ac:dyDescent="0.2"/>
    <row r="580" ht="14.1" customHeight="1" x14ac:dyDescent="0.2"/>
    <row r="581" ht="14.1" customHeight="1" x14ac:dyDescent="0.2"/>
    <row r="582" ht="14.1" customHeight="1" x14ac:dyDescent="0.2"/>
    <row r="583" ht="14.1" customHeight="1" x14ac:dyDescent="0.2"/>
    <row r="584" ht="14.1" customHeight="1" x14ac:dyDescent="0.2"/>
    <row r="585" ht="14.1" customHeight="1" x14ac:dyDescent="0.2"/>
    <row r="586" ht="14.1" customHeight="1" x14ac:dyDescent="0.2"/>
    <row r="587" ht="14.1" customHeight="1" x14ac:dyDescent="0.2"/>
    <row r="588" ht="14.1" customHeight="1" x14ac:dyDescent="0.2"/>
    <row r="589" ht="14.1" customHeight="1" x14ac:dyDescent="0.2"/>
    <row r="590" ht="14.1" customHeight="1" x14ac:dyDescent="0.2"/>
    <row r="591" ht="14.1" customHeight="1" x14ac:dyDescent="0.2"/>
    <row r="592" ht="14.1" customHeight="1" x14ac:dyDescent="0.2"/>
    <row r="593" ht="14.1" customHeight="1" x14ac:dyDescent="0.2"/>
    <row r="594" ht="14.1" customHeight="1" x14ac:dyDescent="0.2"/>
    <row r="595" ht="14.1" customHeight="1" x14ac:dyDescent="0.2"/>
    <row r="596" ht="14.1" customHeight="1" x14ac:dyDescent="0.2"/>
    <row r="597" ht="14.1" customHeight="1" x14ac:dyDescent="0.2"/>
    <row r="598" ht="14.1" customHeight="1" x14ac:dyDescent="0.2"/>
    <row r="599" ht="14.1" customHeight="1" x14ac:dyDescent="0.2"/>
    <row r="600" ht="14.1" customHeight="1" x14ac:dyDescent="0.2"/>
    <row r="601" ht="14.1" customHeight="1" x14ac:dyDescent="0.2"/>
    <row r="602" ht="14.1" customHeight="1" x14ac:dyDescent="0.2"/>
    <row r="603" ht="14.1" customHeight="1" x14ac:dyDescent="0.2"/>
    <row r="604" ht="14.1" customHeight="1" x14ac:dyDescent="0.2"/>
    <row r="605" ht="14.1" customHeight="1" x14ac:dyDescent="0.2"/>
    <row r="606" ht="14.1" customHeight="1" x14ac:dyDescent="0.2"/>
    <row r="607" ht="14.1" customHeight="1" x14ac:dyDescent="0.2"/>
    <row r="608" ht="14.1" customHeight="1" x14ac:dyDescent="0.2"/>
    <row r="609" ht="14.1" customHeight="1" x14ac:dyDescent="0.2"/>
    <row r="610" ht="14.1" customHeight="1" x14ac:dyDescent="0.2"/>
    <row r="611" ht="14.1" customHeight="1" x14ac:dyDescent="0.2"/>
    <row r="612" ht="14.1" customHeight="1" x14ac:dyDescent="0.2"/>
    <row r="613" ht="14.1" customHeight="1" x14ac:dyDescent="0.2"/>
    <row r="614" ht="14.1" customHeight="1" x14ac:dyDescent="0.2"/>
    <row r="615" ht="14.1" customHeight="1" x14ac:dyDescent="0.2"/>
    <row r="616" ht="14.1" customHeight="1" x14ac:dyDescent="0.2"/>
    <row r="617" ht="14.1" customHeight="1" x14ac:dyDescent="0.2"/>
    <row r="618" ht="14.1" customHeight="1" x14ac:dyDescent="0.2"/>
    <row r="619" ht="14.1" customHeight="1" x14ac:dyDescent="0.2"/>
    <row r="620" ht="14.1" customHeight="1" x14ac:dyDescent="0.2"/>
    <row r="621" ht="14.1" customHeight="1" x14ac:dyDescent="0.2"/>
    <row r="622" ht="14.1" customHeight="1" x14ac:dyDescent="0.2"/>
    <row r="623" ht="14.1" customHeight="1" x14ac:dyDescent="0.2"/>
    <row r="624" ht="14.1" customHeight="1" x14ac:dyDescent="0.2"/>
    <row r="625" ht="14.1" customHeight="1" x14ac:dyDescent="0.2"/>
    <row r="626" ht="14.1" customHeight="1" x14ac:dyDescent="0.2"/>
    <row r="627" ht="14.1" customHeight="1" x14ac:dyDescent="0.2"/>
    <row r="628" ht="14.1" customHeight="1" x14ac:dyDescent="0.2"/>
    <row r="629" ht="14.1" customHeight="1" x14ac:dyDescent="0.2"/>
    <row r="630" ht="14.1" customHeight="1" x14ac:dyDescent="0.2"/>
    <row r="631" ht="14.1" customHeight="1" x14ac:dyDescent="0.2"/>
    <row r="632" ht="14.1" customHeight="1" x14ac:dyDescent="0.2"/>
    <row r="633" ht="14.1" customHeight="1" x14ac:dyDescent="0.2"/>
    <row r="634" ht="14.1" customHeight="1" x14ac:dyDescent="0.2"/>
    <row r="635" ht="14.1" customHeight="1" x14ac:dyDescent="0.2"/>
    <row r="636" ht="14.1" customHeight="1" x14ac:dyDescent="0.2"/>
    <row r="637" ht="14.1" customHeight="1" x14ac:dyDescent="0.2"/>
    <row r="638" ht="14.1" customHeight="1" x14ac:dyDescent="0.2"/>
    <row r="639" ht="14.1" customHeight="1" x14ac:dyDescent="0.2"/>
    <row r="640" ht="14.1" customHeight="1" x14ac:dyDescent="0.2"/>
    <row r="641" ht="14.1" customHeight="1" x14ac:dyDescent="0.2"/>
    <row r="642" ht="14.1" customHeight="1" x14ac:dyDescent="0.2"/>
    <row r="643" ht="14.1" customHeight="1" x14ac:dyDescent="0.2"/>
    <row r="644" ht="14.1" customHeight="1" x14ac:dyDescent="0.2"/>
    <row r="645" ht="14.1" customHeight="1" x14ac:dyDescent="0.2"/>
    <row r="646" ht="14.1" customHeight="1" x14ac:dyDescent="0.2"/>
    <row r="647" ht="14.1" customHeight="1" x14ac:dyDescent="0.2"/>
    <row r="648" ht="14.1" customHeight="1" x14ac:dyDescent="0.2"/>
    <row r="649" ht="14.1" customHeight="1" x14ac:dyDescent="0.2"/>
    <row r="650" ht="14.1" customHeight="1" x14ac:dyDescent="0.2"/>
    <row r="651" ht="14.1" customHeight="1" x14ac:dyDescent="0.2"/>
    <row r="652" ht="14.1" customHeight="1" x14ac:dyDescent="0.2"/>
    <row r="653" ht="14.1" customHeight="1" x14ac:dyDescent="0.2"/>
    <row r="654" ht="14.1" customHeight="1" x14ac:dyDescent="0.2"/>
    <row r="655" ht="14.1" customHeight="1" x14ac:dyDescent="0.2"/>
    <row r="656" ht="14.1" customHeight="1" x14ac:dyDescent="0.2"/>
    <row r="657" ht="14.1" customHeight="1" x14ac:dyDescent="0.2"/>
    <row r="658" ht="14.1" customHeight="1" x14ac:dyDescent="0.2"/>
    <row r="659" ht="14.1" customHeight="1" x14ac:dyDescent="0.2"/>
    <row r="660" ht="14.1" customHeight="1" x14ac:dyDescent="0.2"/>
    <row r="661" ht="14.1" customHeight="1" x14ac:dyDescent="0.2"/>
    <row r="662" ht="14.1" customHeight="1" x14ac:dyDescent="0.2"/>
    <row r="663" ht="14.1" customHeight="1" x14ac:dyDescent="0.2"/>
    <row r="664" ht="14.1" customHeight="1" x14ac:dyDescent="0.2"/>
    <row r="665" ht="14.1" customHeight="1" x14ac:dyDescent="0.2"/>
    <row r="666" ht="14.1" customHeight="1" x14ac:dyDescent="0.2"/>
    <row r="667" ht="14.1" customHeight="1" x14ac:dyDescent="0.2"/>
    <row r="668" ht="14.1" customHeight="1" x14ac:dyDescent="0.2"/>
    <row r="669" ht="14.1" customHeight="1" x14ac:dyDescent="0.2"/>
    <row r="670" ht="14.1" customHeight="1" x14ac:dyDescent="0.2"/>
    <row r="671" ht="14.1" customHeight="1" x14ac:dyDescent="0.2"/>
    <row r="672" ht="14.1" customHeight="1" x14ac:dyDescent="0.2"/>
    <row r="673" ht="14.1" customHeight="1" x14ac:dyDescent="0.2"/>
    <row r="674" ht="14.1" customHeight="1" x14ac:dyDescent="0.2"/>
    <row r="675" ht="14.1" customHeight="1" x14ac:dyDescent="0.2"/>
    <row r="676" ht="14.1" customHeight="1" x14ac:dyDescent="0.2"/>
    <row r="677" ht="14.1" customHeight="1" x14ac:dyDescent="0.2"/>
    <row r="678" ht="14.1" customHeight="1" x14ac:dyDescent="0.2"/>
    <row r="679" ht="14.1" customHeight="1" x14ac:dyDescent="0.2"/>
    <row r="680" ht="14.1" customHeight="1" x14ac:dyDescent="0.2"/>
    <row r="681" ht="14.1" customHeight="1" x14ac:dyDescent="0.2"/>
    <row r="682" ht="14.1" customHeight="1" x14ac:dyDescent="0.2"/>
    <row r="683" ht="14.1" customHeight="1" x14ac:dyDescent="0.2"/>
    <row r="684" ht="14.1" customHeight="1" x14ac:dyDescent="0.2"/>
    <row r="685" ht="14.1" customHeight="1" x14ac:dyDescent="0.2"/>
    <row r="686" ht="14.1" customHeight="1" x14ac:dyDescent="0.2"/>
    <row r="687" ht="14.1" customHeight="1" x14ac:dyDescent="0.2"/>
    <row r="688" ht="14.1" customHeight="1" x14ac:dyDescent="0.2"/>
    <row r="689" ht="14.1" customHeight="1" x14ac:dyDescent="0.2"/>
    <row r="690" ht="14.1" customHeight="1" x14ac:dyDescent="0.2"/>
    <row r="691" ht="14.1" customHeight="1" x14ac:dyDescent="0.2"/>
    <row r="692" ht="14.1" customHeight="1" x14ac:dyDescent="0.2"/>
    <row r="693" ht="14.1" customHeight="1" x14ac:dyDescent="0.2"/>
    <row r="694" ht="14.1" customHeight="1" x14ac:dyDescent="0.2"/>
    <row r="695" ht="14.1" customHeight="1" x14ac:dyDescent="0.2"/>
    <row r="696" ht="14.1" customHeight="1" x14ac:dyDescent="0.2"/>
    <row r="697" ht="14.1" customHeight="1" x14ac:dyDescent="0.2"/>
    <row r="698" ht="14.1" customHeight="1" x14ac:dyDescent="0.2"/>
    <row r="699" ht="14.1" customHeight="1" x14ac:dyDescent="0.2"/>
    <row r="700" ht="14.1" customHeight="1" x14ac:dyDescent="0.2"/>
    <row r="701" ht="14.1" customHeight="1" x14ac:dyDescent="0.2"/>
    <row r="702" ht="14.1" customHeight="1" x14ac:dyDescent="0.2"/>
    <row r="703" ht="14.1" customHeight="1" x14ac:dyDescent="0.2"/>
    <row r="704" ht="14.1" customHeight="1" x14ac:dyDescent="0.2"/>
    <row r="705" ht="14.1" customHeight="1" x14ac:dyDescent="0.2"/>
    <row r="706" ht="14.1" customHeight="1" x14ac:dyDescent="0.2"/>
    <row r="707" ht="14.1" customHeight="1" x14ac:dyDescent="0.2"/>
    <row r="708" ht="14.1" customHeight="1" x14ac:dyDescent="0.2"/>
    <row r="709" ht="14.1" customHeight="1" x14ac:dyDescent="0.2"/>
    <row r="710" ht="14.1" customHeight="1" x14ac:dyDescent="0.2"/>
    <row r="711" ht="14.1" customHeight="1" x14ac:dyDescent="0.2"/>
    <row r="712" ht="14.1" customHeight="1" x14ac:dyDescent="0.2"/>
    <row r="713" ht="14.1" customHeight="1" x14ac:dyDescent="0.2"/>
    <row r="714" ht="14.1" customHeight="1" x14ac:dyDescent="0.2"/>
    <row r="715" ht="14.1" customHeight="1" x14ac:dyDescent="0.2"/>
    <row r="716" ht="14.1" customHeight="1" x14ac:dyDescent="0.2"/>
    <row r="717" ht="14.1" customHeight="1" x14ac:dyDescent="0.2"/>
    <row r="718" ht="14.1" customHeight="1" x14ac:dyDescent="0.2"/>
    <row r="719" ht="14.1" customHeight="1" x14ac:dyDescent="0.2"/>
    <row r="720" ht="14.1" customHeight="1" x14ac:dyDescent="0.2"/>
    <row r="721" ht="14.1" customHeight="1" x14ac:dyDescent="0.2"/>
    <row r="722" ht="14.1" customHeight="1" x14ac:dyDescent="0.2"/>
    <row r="723" ht="14.1" customHeight="1" x14ac:dyDescent="0.2"/>
    <row r="724" ht="14.1" customHeight="1" x14ac:dyDescent="0.2"/>
    <row r="725" ht="14.1" customHeight="1" x14ac:dyDescent="0.2"/>
    <row r="726" ht="14.1" customHeight="1" x14ac:dyDescent="0.2"/>
    <row r="727" ht="14.1" customHeight="1" x14ac:dyDescent="0.2"/>
    <row r="728" ht="14.1" customHeight="1" x14ac:dyDescent="0.2"/>
    <row r="729" ht="14.1" customHeight="1" x14ac:dyDescent="0.2"/>
    <row r="730" ht="14.1" customHeight="1" x14ac:dyDescent="0.2"/>
    <row r="731" ht="14.1" customHeight="1" x14ac:dyDescent="0.2"/>
    <row r="732" ht="14.1" customHeight="1" x14ac:dyDescent="0.2"/>
    <row r="733" ht="14.1" customHeight="1" x14ac:dyDescent="0.2"/>
    <row r="734" ht="14.1" customHeight="1" x14ac:dyDescent="0.2"/>
    <row r="735" ht="14.1" customHeight="1" x14ac:dyDescent="0.2"/>
    <row r="736" ht="14.1" customHeight="1" x14ac:dyDescent="0.2"/>
    <row r="737" ht="14.1" customHeight="1" x14ac:dyDescent="0.2"/>
    <row r="738" ht="14.1" customHeight="1" x14ac:dyDescent="0.2"/>
    <row r="739" ht="14.1" customHeight="1" x14ac:dyDescent="0.2"/>
    <row r="740" ht="14.1" customHeight="1" x14ac:dyDescent="0.2"/>
    <row r="741" ht="14.1" customHeight="1" x14ac:dyDescent="0.2"/>
    <row r="742" ht="14.1" customHeight="1" x14ac:dyDescent="0.2"/>
    <row r="743" ht="14.1" customHeight="1" x14ac:dyDescent="0.2"/>
    <row r="744" ht="14.1" customHeight="1" x14ac:dyDescent="0.2"/>
    <row r="745" ht="14.1" customHeight="1" x14ac:dyDescent="0.2"/>
    <row r="746" ht="14.1" customHeight="1" x14ac:dyDescent="0.2"/>
    <row r="747" ht="14.1" customHeight="1" x14ac:dyDescent="0.2"/>
    <row r="748" ht="14.1" customHeight="1" x14ac:dyDescent="0.2"/>
    <row r="749" ht="14.1" customHeight="1" x14ac:dyDescent="0.2"/>
    <row r="750" ht="14.1" customHeight="1" x14ac:dyDescent="0.2"/>
    <row r="751" ht="14.1" customHeight="1" x14ac:dyDescent="0.2"/>
    <row r="752" ht="14.1" customHeight="1" x14ac:dyDescent="0.2"/>
    <row r="753" ht="14.1" customHeight="1" x14ac:dyDescent="0.2"/>
    <row r="754" ht="14.1" customHeight="1" x14ac:dyDescent="0.2"/>
    <row r="755" ht="14.1" customHeight="1" x14ac:dyDescent="0.2"/>
    <row r="756" ht="14.1" customHeight="1" x14ac:dyDescent="0.2"/>
    <row r="757" ht="14.1" customHeight="1" x14ac:dyDescent="0.2"/>
    <row r="758" ht="14.1" customHeight="1" x14ac:dyDescent="0.2"/>
    <row r="759" ht="14.1" customHeight="1" x14ac:dyDescent="0.2"/>
    <row r="760" ht="14.1" customHeight="1" x14ac:dyDescent="0.2"/>
    <row r="761" ht="14.1" customHeight="1" x14ac:dyDescent="0.2"/>
    <row r="762" ht="14.1" customHeight="1" x14ac:dyDescent="0.2"/>
    <row r="763" ht="14.1" customHeight="1" x14ac:dyDescent="0.2"/>
    <row r="764" ht="14.1" customHeight="1" x14ac:dyDescent="0.2"/>
    <row r="765" ht="14.1" customHeight="1" x14ac:dyDescent="0.2"/>
    <row r="766" ht="14.1" customHeight="1" x14ac:dyDescent="0.2"/>
    <row r="767" ht="14.1" customHeight="1" x14ac:dyDescent="0.2"/>
    <row r="768" ht="14.1" customHeight="1" x14ac:dyDescent="0.2"/>
    <row r="769" ht="14.1" customHeight="1" x14ac:dyDescent="0.2"/>
    <row r="770" ht="14.1" customHeight="1" x14ac:dyDescent="0.2"/>
    <row r="771" ht="14.1" customHeight="1" x14ac:dyDescent="0.2"/>
    <row r="772" ht="14.1" customHeight="1" x14ac:dyDescent="0.2"/>
    <row r="773" ht="14.1" customHeight="1" x14ac:dyDescent="0.2"/>
    <row r="774" ht="14.1" customHeight="1" x14ac:dyDescent="0.2"/>
    <row r="775" ht="14.1" customHeight="1" x14ac:dyDescent="0.2"/>
    <row r="776" ht="14.1" customHeight="1" x14ac:dyDescent="0.2"/>
    <row r="777" ht="14.1" customHeight="1" x14ac:dyDescent="0.2"/>
    <row r="778" ht="14.1" customHeight="1" x14ac:dyDescent="0.2"/>
    <row r="779" ht="14.1" customHeight="1" x14ac:dyDescent="0.2"/>
    <row r="780" ht="14.1" customHeight="1" x14ac:dyDescent="0.2"/>
    <row r="781" ht="14.1" customHeight="1" x14ac:dyDescent="0.2"/>
    <row r="782" ht="14.1" customHeight="1" x14ac:dyDescent="0.2"/>
    <row r="783" ht="14.1" customHeight="1" x14ac:dyDescent="0.2"/>
    <row r="784" ht="14.1" customHeight="1" x14ac:dyDescent="0.2"/>
    <row r="785" ht="14.1" customHeight="1" x14ac:dyDescent="0.2"/>
    <row r="786" ht="14.1" customHeight="1" x14ac:dyDescent="0.2"/>
    <row r="787" ht="14.1" customHeight="1" x14ac:dyDescent="0.2"/>
    <row r="788" ht="14.1" customHeight="1" x14ac:dyDescent="0.2"/>
    <row r="789" ht="14.1" customHeight="1" x14ac:dyDescent="0.2"/>
    <row r="790" ht="14.1" customHeight="1" x14ac:dyDescent="0.2"/>
    <row r="791" ht="14.1" customHeight="1" x14ac:dyDescent="0.2"/>
    <row r="792" ht="14.1" customHeight="1" x14ac:dyDescent="0.2"/>
    <row r="793" ht="14.1" customHeight="1" x14ac:dyDescent="0.2"/>
    <row r="794" ht="14.1" customHeight="1" x14ac:dyDescent="0.2"/>
    <row r="795" ht="14.1" customHeight="1" x14ac:dyDescent="0.2"/>
    <row r="796" ht="14.1" customHeight="1" x14ac:dyDescent="0.2"/>
    <row r="797" ht="14.1" customHeight="1" x14ac:dyDescent="0.2"/>
    <row r="798" ht="14.1" customHeight="1" x14ac:dyDescent="0.2"/>
    <row r="799" ht="14.1" customHeight="1" x14ac:dyDescent="0.2"/>
    <row r="800" ht="14.1" customHeight="1" x14ac:dyDescent="0.2"/>
    <row r="801" ht="14.1" customHeight="1" x14ac:dyDescent="0.2"/>
    <row r="802" ht="14.1" customHeight="1" x14ac:dyDescent="0.2"/>
    <row r="803" ht="14.1" customHeight="1" x14ac:dyDescent="0.2"/>
    <row r="804" ht="14.1" customHeight="1" x14ac:dyDescent="0.2"/>
    <row r="805" ht="14.1" customHeight="1" x14ac:dyDescent="0.2"/>
    <row r="806" ht="14.1" customHeight="1" x14ac:dyDescent="0.2"/>
    <row r="807" ht="14.1" customHeight="1" x14ac:dyDescent="0.2"/>
    <row r="808" ht="14.1" customHeight="1" x14ac:dyDescent="0.2"/>
    <row r="809" ht="14.1" customHeight="1" x14ac:dyDescent="0.2"/>
    <row r="810" ht="14.1" customHeight="1" x14ac:dyDescent="0.2"/>
    <row r="811" ht="14.1" customHeight="1" x14ac:dyDescent="0.2"/>
    <row r="812" ht="14.1" customHeight="1" x14ac:dyDescent="0.2"/>
    <row r="813" ht="14.1" customHeight="1" x14ac:dyDescent="0.2"/>
    <row r="814" ht="14.1" customHeight="1" x14ac:dyDescent="0.2"/>
    <row r="815" ht="14.1" customHeight="1" x14ac:dyDescent="0.2"/>
    <row r="816" ht="14.1" customHeight="1" x14ac:dyDescent="0.2"/>
    <row r="817" ht="14.1" customHeight="1" x14ac:dyDescent="0.2"/>
    <row r="818" ht="14.1" customHeight="1" x14ac:dyDescent="0.2"/>
    <row r="819" ht="14.1" customHeight="1" x14ac:dyDescent="0.2"/>
    <row r="820" ht="14.1" customHeight="1" x14ac:dyDescent="0.2"/>
    <row r="821" ht="14.1" customHeight="1" x14ac:dyDescent="0.2"/>
    <row r="822" ht="14.1" customHeight="1" x14ac:dyDescent="0.2"/>
    <row r="823" ht="14.1" customHeight="1" x14ac:dyDescent="0.2"/>
    <row r="824" ht="14.1" customHeight="1" x14ac:dyDescent="0.2"/>
    <row r="825" ht="14.1" customHeight="1" x14ac:dyDescent="0.2"/>
    <row r="826" ht="14.1" customHeight="1" x14ac:dyDescent="0.2"/>
    <row r="827" ht="14.1" customHeight="1" x14ac:dyDescent="0.2"/>
    <row r="828" ht="14.1" customHeight="1" x14ac:dyDescent="0.2"/>
    <row r="829" ht="14.1" customHeight="1" x14ac:dyDescent="0.2"/>
    <row r="830" ht="14.1" customHeight="1" x14ac:dyDescent="0.2"/>
    <row r="831" ht="14.1" customHeight="1" x14ac:dyDescent="0.2"/>
    <row r="832" ht="14.1" customHeight="1" x14ac:dyDescent="0.2"/>
    <row r="833" ht="14.1" customHeight="1" x14ac:dyDescent="0.2"/>
    <row r="834" ht="14.1" customHeight="1" x14ac:dyDescent="0.2"/>
    <row r="835" ht="14.1" customHeight="1" x14ac:dyDescent="0.2"/>
    <row r="836" ht="14.1" customHeight="1" x14ac:dyDescent="0.2"/>
    <row r="837" ht="14.1" customHeight="1" x14ac:dyDescent="0.2"/>
    <row r="838" ht="14.1" customHeight="1" x14ac:dyDescent="0.2"/>
    <row r="839" ht="14.1" customHeight="1" x14ac:dyDescent="0.2"/>
    <row r="840" ht="14.1" customHeight="1" x14ac:dyDescent="0.2"/>
    <row r="841" ht="14.1" customHeight="1" x14ac:dyDescent="0.2"/>
    <row r="842" ht="14.1" customHeight="1" x14ac:dyDescent="0.2"/>
    <row r="843" ht="14.1" customHeight="1" x14ac:dyDescent="0.2"/>
    <row r="844" ht="14.1" customHeight="1" x14ac:dyDescent="0.2"/>
    <row r="845" ht="14.1" customHeight="1" x14ac:dyDescent="0.2"/>
    <row r="846" ht="14.1" customHeight="1" x14ac:dyDescent="0.2"/>
    <row r="847" ht="14.1" customHeight="1" x14ac:dyDescent="0.2"/>
    <row r="848" ht="14.1" customHeight="1" x14ac:dyDescent="0.2"/>
    <row r="849" ht="14.1" customHeight="1" x14ac:dyDescent="0.2"/>
    <row r="850" ht="14.1" customHeight="1" x14ac:dyDescent="0.2"/>
    <row r="851" ht="14.1" customHeight="1" x14ac:dyDescent="0.2"/>
    <row r="852" ht="14.1" customHeight="1" x14ac:dyDescent="0.2"/>
    <row r="853" ht="14.1" customHeight="1" x14ac:dyDescent="0.2"/>
    <row r="854" ht="14.1" customHeight="1" x14ac:dyDescent="0.2"/>
    <row r="855" ht="14.1" customHeight="1" x14ac:dyDescent="0.2"/>
    <row r="856" ht="14.1" customHeight="1" x14ac:dyDescent="0.2"/>
    <row r="857" ht="14.1" customHeight="1" x14ac:dyDescent="0.2"/>
    <row r="858" ht="14.1" customHeight="1" x14ac:dyDescent="0.2"/>
    <row r="859" ht="14.1" customHeight="1" x14ac:dyDescent="0.2"/>
    <row r="860" ht="14.1" customHeight="1" x14ac:dyDescent="0.2"/>
    <row r="861" ht="14.1" customHeight="1" x14ac:dyDescent="0.2"/>
    <row r="862" ht="14.1" customHeight="1" x14ac:dyDescent="0.2"/>
    <row r="863" ht="14.1" customHeight="1" x14ac:dyDescent="0.2"/>
    <row r="864" ht="14.1" customHeight="1" x14ac:dyDescent="0.2"/>
    <row r="865" ht="14.1" customHeight="1" x14ac:dyDescent="0.2"/>
    <row r="866" ht="14.1" customHeight="1" x14ac:dyDescent="0.2"/>
    <row r="867" ht="14.1" customHeight="1" x14ac:dyDescent="0.2"/>
    <row r="868" ht="14.1" customHeight="1" x14ac:dyDescent="0.2"/>
    <row r="869" ht="14.1" customHeight="1" x14ac:dyDescent="0.2"/>
    <row r="870" ht="14.1" customHeight="1" x14ac:dyDescent="0.2"/>
    <row r="871" ht="14.1" customHeight="1" x14ac:dyDescent="0.2"/>
    <row r="872" ht="14.1" customHeight="1" x14ac:dyDescent="0.2"/>
    <row r="873" ht="14.1" customHeight="1" x14ac:dyDescent="0.2"/>
    <row r="874" ht="14.1" customHeight="1" x14ac:dyDescent="0.2"/>
    <row r="875" ht="14.1" customHeight="1" x14ac:dyDescent="0.2"/>
    <row r="876" ht="14.1" customHeight="1" x14ac:dyDescent="0.2"/>
    <row r="877" ht="14.1" customHeight="1" x14ac:dyDescent="0.2"/>
    <row r="878" ht="14.1" customHeight="1" x14ac:dyDescent="0.2"/>
    <row r="879" ht="14.1" customHeight="1" x14ac:dyDescent="0.2"/>
    <row r="880" ht="14.1" customHeight="1" x14ac:dyDescent="0.2"/>
    <row r="881" ht="14.1" customHeight="1" x14ac:dyDescent="0.2"/>
    <row r="882" ht="14.1" customHeight="1" x14ac:dyDescent="0.2"/>
    <row r="883" ht="14.1" customHeight="1" x14ac:dyDescent="0.2"/>
    <row r="884" ht="14.1" customHeight="1" x14ac:dyDescent="0.2"/>
    <row r="885" ht="14.1" customHeight="1" x14ac:dyDescent="0.2"/>
    <row r="886" ht="14.1" customHeight="1" x14ac:dyDescent="0.2"/>
    <row r="887" ht="14.1" customHeight="1" x14ac:dyDescent="0.2"/>
    <row r="888" ht="14.1" customHeight="1" x14ac:dyDescent="0.2"/>
    <row r="889" ht="14.1" customHeight="1" x14ac:dyDescent="0.2"/>
    <row r="890" ht="14.1" customHeight="1" x14ac:dyDescent="0.2"/>
    <row r="891" ht="14.1" customHeight="1" x14ac:dyDescent="0.2"/>
    <row r="892" ht="14.1" customHeight="1" x14ac:dyDescent="0.2"/>
    <row r="893" ht="14.1" customHeight="1" x14ac:dyDescent="0.2"/>
    <row r="894" ht="14.1" customHeight="1" x14ac:dyDescent="0.2"/>
    <row r="895" ht="14.1" customHeight="1" x14ac:dyDescent="0.2"/>
    <row r="896" ht="14.1" customHeight="1" x14ac:dyDescent="0.2"/>
    <row r="897" ht="14.1" customHeight="1" x14ac:dyDescent="0.2"/>
    <row r="898" ht="14.1" customHeight="1" x14ac:dyDescent="0.2"/>
    <row r="899" ht="14.1" customHeight="1" x14ac:dyDescent="0.2"/>
    <row r="900" ht="14.1" customHeight="1" x14ac:dyDescent="0.2"/>
    <row r="901" ht="14.1" customHeight="1" x14ac:dyDescent="0.2"/>
    <row r="902" ht="14.1" customHeight="1" x14ac:dyDescent="0.2"/>
    <row r="903" ht="14.1" customHeight="1" x14ac:dyDescent="0.2"/>
    <row r="904" ht="14.1" customHeight="1" x14ac:dyDescent="0.2"/>
    <row r="905" ht="14.1" customHeight="1" x14ac:dyDescent="0.2"/>
    <row r="906" ht="14.1" customHeight="1" x14ac:dyDescent="0.2"/>
    <row r="907" ht="14.1" customHeight="1" x14ac:dyDescent="0.2"/>
    <row r="908" ht="14.1" customHeight="1" x14ac:dyDescent="0.2"/>
    <row r="909" ht="14.1" customHeight="1" x14ac:dyDescent="0.2"/>
    <row r="910" ht="14.1" customHeight="1" x14ac:dyDescent="0.2"/>
    <row r="911" ht="14.1" customHeight="1" x14ac:dyDescent="0.2"/>
    <row r="912" ht="14.1" customHeight="1" x14ac:dyDescent="0.2"/>
    <row r="913" ht="14.1" customHeight="1" x14ac:dyDescent="0.2"/>
    <row r="914" ht="14.1" customHeight="1" x14ac:dyDescent="0.2"/>
    <row r="915" ht="14.1" customHeight="1" x14ac:dyDescent="0.2"/>
    <row r="916" ht="14.1" customHeight="1" x14ac:dyDescent="0.2"/>
    <row r="917" ht="14.1" customHeight="1" x14ac:dyDescent="0.2"/>
    <row r="918" ht="14.1" customHeight="1" x14ac:dyDescent="0.2"/>
    <row r="919" ht="14.1" customHeight="1" x14ac:dyDescent="0.2"/>
    <row r="920" ht="14.1" customHeight="1" x14ac:dyDescent="0.2"/>
    <row r="921" ht="14.1" customHeight="1" x14ac:dyDescent="0.2"/>
    <row r="922" ht="14.1" customHeight="1" x14ac:dyDescent="0.2"/>
    <row r="923" ht="14.1" customHeight="1" x14ac:dyDescent="0.2"/>
    <row r="924" ht="14.1" customHeight="1" x14ac:dyDescent="0.2"/>
    <row r="925" ht="14.1" customHeight="1" x14ac:dyDescent="0.2"/>
    <row r="926" ht="14.1" customHeight="1" x14ac:dyDescent="0.2"/>
    <row r="927" ht="14.1" customHeight="1" x14ac:dyDescent="0.2"/>
    <row r="928" ht="14.1" customHeight="1" x14ac:dyDescent="0.2"/>
    <row r="929" ht="14.1" customHeight="1" x14ac:dyDescent="0.2"/>
    <row r="930" ht="14.1" customHeight="1" x14ac:dyDescent="0.2"/>
    <row r="931" ht="14.1" customHeight="1" x14ac:dyDescent="0.2"/>
    <row r="932" ht="14.1" customHeight="1" x14ac:dyDescent="0.2"/>
    <row r="933" ht="14.1" customHeight="1" x14ac:dyDescent="0.2"/>
    <row r="934" ht="14.1" customHeight="1" x14ac:dyDescent="0.2"/>
    <row r="935" ht="14.1" customHeight="1" x14ac:dyDescent="0.2"/>
    <row r="936" ht="14.1" customHeight="1" x14ac:dyDescent="0.2"/>
    <row r="937" ht="14.1" customHeight="1" x14ac:dyDescent="0.2"/>
    <row r="938" ht="14.1" customHeight="1" x14ac:dyDescent="0.2"/>
    <row r="939" ht="14.1" customHeight="1" x14ac:dyDescent="0.2"/>
    <row r="940" ht="14.1" customHeight="1" x14ac:dyDescent="0.2"/>
    <row r="941" ht="14.1" customHeight="1" x14ac:dyDescent="0.2"/>
    <row r="942" ht="14.1" customHeight="1" x14ac:dyDescent="0.2"/>
    <row r="943" ht="14.1" customHeight="1" x14ac:dyDescent="0.2"/>
    <row r="944" ht="14.1" customHeight="1" x14ac:dyDescent="0.2"/>
    <row r="945" ht="14.1" customHeight="1" x14ac:dyDescent="0.2"/>
    <row r="946" ht="14.1" customHeight="1" x14ac:dyDescent="0.2"/>
    <row r="947" ht="14.1" customHeight="1" x14ac:dyDescent="0.2"/>
    <row r="948" ht="14.1" customHeight="1" x14ac:dyDescent="0.2"/>
    <row r="949" ht="14.1" customHeight="1" x14ac:dyDescent="0.2"/>
    <row r="950" ht="14.1" customHeight="1" x14ac:dyDescent="0.2"/>
    <row r="951" ht="14.1" customHeight="1" x14ac:dyDescent="0.2"/>
    <row r="952" ht="14.1" customHeight="1" x14ac:dyDescent="0.2"/>
    <row r="953" ht="14.1" customHeight="1" x14ac:dyDescent="0.2"/>
    <row r="954" ht="14.1" customHeight="1" x14ac:dyDescent="0.2"/>
    <row r="955" ht="14.1" customHeight="1" x14ac:dyDescent="0.2"/>
    <row r="956" ht="14.1" customHeight="1" x14ac:dyDescent="0.2"/>
    <row r="957" ht="14.1" customHeight="1" x14ac:dyDescent="0.2"/>
    <row r="958" ht="14.1" customHeight="1" x14ac:dyDescent="0.2"/>
    <row r="959" ht="14.1" customHeight="1" x14ac:dyDescent="0.2"/>
    <row r="960" ht="14.1" customHeight="1" x14ac:dyDescent="0.2"/>
    <row r="961" ht="14.1" customHeight="1" x14ac:dyDescent="0.2"/>
    <row r="962" ht="14.1" customHeight="1" x14ac:dyDescent="0.2"/>
    <row r="963" ht="14.1" customHeight="1" x14ac:dyDescent="0.2"/>
    <row r="964" ht="14.1" customHeight="1" x14ac:dyDescent="0.2"/>
    <row r="965" ht="14.1" customHeight="1" x14ac:dyDescent="0.2"/>
    <row r="966" ht="14.1" customHeight="1" x14ac:dyDescent="0.2"/>
    <row r="967" ht="14.1" customHeight="1" x14ac:dyDescent="0.2"/>
    <row r="968" ht="14.1" customHeight="1" x14ac:dyDescent="0.2"/>
    <row r="969" ht="14.1" customHeight="1" x14ac:dyDescent="0.2"/>
    <row r="970" ht="14.1" customHeight="1" x14ac:dyDescent="0.2"/>
    <row r="971" ht="14.1" customHeight="1" x14ac:dyDescent="0.2"/>
    <row r="972" ht="14.1" customHeight="1" x14ac:dyDescent="0.2"/>
    <row r="973" ht="14.1" customHeight="1" x14ac:dyDescent="0.2"/>
    <row r="974" ht="14.1" customHeight="1" x14ac:dyDescent="0.2"/>
    <row r="975" ht="14.1" customHeight="1" x14ac:dyDescent="0.2"/>
    <row r="976" ht="14.1" customHeight="1" x14ac:dyDescent="0.2"/>
    <row r="977" ht="14.1" customHeight="1" x14ac:dyDescent="0.2"/>
    <row r="978" ht="14.1" customHeight="1" x14ac:dyDescent="0.2"/>
    <row r="979" ht="14.1" customHeight="1" x14ac:dyDescent="0.2"/>
    <row r="980" ht="14.1" customHeight="1" x14ac:dyDescent="0.2"/>
    <row r="981" ht="14.1" customHeight="1" x14ac:dyDescent="0.2"/>
    <row r="982" ht="14.1" customHeight="1" x14ac:dyDescent="0.2"/>
    <row r="983" ht="14.1" customHeight="1" x14ac:dyDescent="0.2"/>
    <row r="984" ht="14.1" customHeight="1" x14ac:dyDescent="0.2"/>
    <row r="985" ht="14.1" customHeight="1" x14ac:dyDescent="0.2"/>
    <row r="986" ht="14.1" customHeight="1" x14ac:dyDescent="0.2"/>
    <row r="987" ht="14.1" customHeight="1" x14ac:dyDescent="0.2"/>
    <row r="988" ht="14.1" customHeight="1" x14ac:dyDescent="0.2"/>
    <row r="989" ht="14.1" customHeight="1" x14ac:dyDescent="0.2"/>
    <row r="990" ht="14.1" customHeight="1" x14ac:dyDescent="0.2"/>
    <row r="991" ht="14.1" customHeight="1" x14ac:dyDescent="0.2"/>
    <row r="992" ht="14.1" customHeight="1" x14ac:dyDescent="0.2"/>
    <row r="993" ht="14.1" customHeight="1" x14ac:dyDescent="0.2"/>
    <row r="994" ht="14.1" customHeight="1" x14ac:dyDescent="0.2"/>
    <row r="995" ht="14.1" customHeight="1" x14ac:dyDescent="0.2"/>
    <row r="996" ht="14.1" customHeight="1" x14ac:dyDescent="0.2"/>
    <row r="997" ht="14.1" customHeight="1" x14ac:dyDescent="0.2"/>
    <row r="998" ht="14.1" customHeight="1" x14ac:dyDescent="0.2"/>
    <row r="999" ht="14.1" customHeight="1" x14ac:dyDescent="0.2"/>
    <row r="1000" ht="14.1" customHeight="1" x14ac:dyDescent="0.2"/>
    <row r="1001" ht="14.1" customHeight="1" x14ac:dyDescent="0.2"/>
    <row r="1002" ht="14.1" customHeight="1" x14ac:dyDescent="0.2"/>
    <row r="1003" ht="14.1" customHeight="1" x14ac:dyDescent="0.2"/>
    <row r="1004" ht="14.1" customHeight="1" x14ac:dyDescent="0.2"/>
    <row r="1005" ht="14.1" customHeight="1" x14ac:dyDescent="0.2"/>
    <row r="1006" ht="14.1" customHeight="1" x14ac:dyDescent="0.2"/>
    <row r="1007" ht="14.1" customHeight="1" x14ac:dyDescent="0.2"/>
    <row r="1008" ht="14.1" customHeight="1" x14ac:dyDescent="0.2"/>
    <row r="1009" ht="14.1" customHeight="1" x14ac:dyDescent="0.2"/>
    <row r="1010" ht="14.1" customHeight="1" x14ac:dyDescent="0.2"/>
    <row r="1011" ht="14.1" customHeight="1" x14ac:dyDescent="0.2"/>
    <row r="1012" ht="14.1" customHeight="1" x14ac:dyDescent="0.2"/>
    <row r="1013" ht="14.1" customHeight="1" x14ac:dyDescent="0.2"/>
    <row r="1014" ht="14.1" customHeight="1" x14ac:dyDescent="0.2"/>
    <row r="1015" ht="14.1" customHeight="1" x14ac:dyDescent="0.2"/>
    <row r="1016" ht="14.1" customHeight="1" x14ac:dyDescent="0.2"/>
    <row r="1017" ht="14.1" customHeight="1" x14ac:dyDescent="0.2"/>
    <row r="1018" ht="14.1" customHeight="1" x14ac:dyDescent="0.2"/>
    <row r="1019" ht="14.1" customHeight="1" x14ac:dyDescent="0.2"/>
    <row r="1020" ht="14.1" customHeight="1" x14ac:dyDescent="0.2"/>
    <row r="1021" ht="14.1" customHeight="1" x14ac:dyDescent="0.2"/>
    <row r="1022" ht="14.1" customHeight="1" x14ac:dyDescent="0.2"/>
    <row r="1023" ht="14.1" customHeight="1" x14ac:dyDescent="0.2"/>
    <row r="1024" ht="14.1" customHeight="1" x14ac:dyDescent="0.2"/>
    <row r="1025" ht="14.1" customHeight="1" x14ac:dyDescent="0.2"/>
    <row r="1026" ht="14.1" customHeight="1" x14ac:dyDescent="0.2"/>
    <row r="1027" ht="14.1" customHeight="1" x14ac:dyDescent="0.2"/>
    <row r="1028" ht="14.1" customHeight="1" x14ac:dyDescent="0.2"/>
    <row r="1029" ht="14.1" customHeight="1" x14ac:dyDescent="0.2"/>
    <row r="1030" ht="14.1" customHeight="1" x14ac:dyDescent="0.2"/>
    <row r="1031" ht="14.1" customHeight="1" x14ac:dyDescent="0.2"/>
    <row r="1032" ht="14.1" customHeight="1" x14ac:dyDescent="0.2"/>
    <row r="1033" ht="14.1" customHeight="1" x14ac:dyDescent="0.2"/>
    <row r="1034" ht="14.1" customHeight="1" x14ac:dyDescent="0.2"/>
    <row r="1035" ht="14.1" customHeight="1" x14ac:dyDescent="0.2"/>
    <row r="1036" ht="14.1" customHeight="1" x14ac:dyDescent="0.2"/>
    <row r="1037" ht="14.1" customHeight="1" x14ac:dyDescent="0.2"/>
    <row r="1038" ht="14.1" customHeight="1" x14ac:dyDescent="0.2"/>
    <row r="1039" ht="14.1" customHeight="1" x14ac:dyDescent="0.2"/>
    <row r="1040" ht="14.1" customHeight="1" x14ac:dyDescent="0.2"/>
    <row r="1041" ht="14.1" customHeight="1" x14ac:dyDescent="0.2"/>
    <row r="1042" ht="14.1" customHeight="1" x14ac:dyDescent="0.2"/>
    <row r="1043" ht="14.1" customHeight="1" x14ac:dyDescent="0.2"/>
    <row r="1044" ht="14.1" customHeight="1" x14ac:dyDescent="0.2"/>
    <row r="1045" ht="14.1" customHeight="1" x14ac:dyDescent="0.2"/>
    <row r="1046" ht="14.1" customHeight="1" x14ac:dyDescent="0.2"/>
    <row r="1047" ht="14.1" customHeight="1" x14ac:dyDescent="0.2"/>
    <row r="1048" ht="14.1" customHeight="1" x14ac:dyDescent="0.2"/>
    <row r="1049" ht="14.1" customHeight="1" x14ac:dyDescent="0.2"/>
    <row r="1050" ht="14.1" customHeight="1" x14ac:dyDescent="0.2"/>
    <row r="1051" ht="14.1" customHeight="1" x14ac:dyDescent="0.2"/>
    <row r="1052" ht="14.1" customHeight="1" x14ac:dyDescent="0.2"/>
    <row r="1053" ht="14.1" customHeight="1" x14ac:dyDescent="0.2"/>
    <row r="1054" ht="14.1" customHeight="1" x14ac:dyDescent="0.2"/>
    <row r="1055" ht="14.1" customHeight="1" x14ac:dyDescent="0.2"/>
    <row r="1056" ht="14.1" customHeight="1" x14ac:dyDescent="0.2"/>
    <row r="1057" ht="14.1" customHeight="1" x14ac:dyDescent="0.2"/>
    <row r="1058" ht="14.1" customHeight="1" x14ac:dyDescent="0.2"/>
    <row r="1059" ht="14.1" customHeight="1" x14ac:dyDescent="0.2"/>
    <row r="1060" ht="14.1" customHeight="1" x14ac:dyDescent="0.2"/>
    <row r="1061" ht="14.1" customHeight="1" x14ac:dyDescent="0.2"/>
    <row r="1062" ht="14.1" customHeight="1" x14ac:dyDescent="0.2"/>
    <row r="1063" ht="14.1" customHeight="1" x14ac:dyDescent="0.2"/>
    <row r="1064" ht="14.1" customHeight="1" x14ac:dyDescent="0.2"/>
    <row r="1065" ht="14.1" customHeight="1" x14ac:dyDescent="0.2"/>
    <row r="1066" ht="14.1" customHeight="1" x14ac:dyDescent="0.2"/>
    <row r="1067" ht="14.1" customHeight="1" x14ac:dyDescent="0.2"/>
    <row r="1068" ht="14.1" customHeight="1" x14ac:dyDescent="0.2"/>
    <row r="1069" ht="14.1" customHeight="1" x14ac:dyDescent="0.2"/>
    <row r="1070" ht="14.1" customHeight="1" x14ac:dyDescent="0.2"/>
    <row r="1071" ht="14.1" customHeight="1" x14ac:dyDescent="0.2"/>
    <row r="1072" ht="14.1" customHeight="1" x14ac:dyDescent="0.2"/>
    <row r="1073" ht="14.1" customHeight="1" x14ac:dyDescent="0.2"/>
    <row r="1074" ht="14.1" customHeight="1" x14ac:dyDescent="0.2"/>
    <row r="1075" ht="14.1" customHeight="1" x14ac:dyDescent="0.2"/>
    <row r="1076" ht="14.1" customHeight="1" x14ac:dyDescent="0.2"/>
    <row r="1077" ht="14.1" customHeight="1" x14ac:dyDescent="0.2"/>
    <row r="1078" ht="14.1" customHeight="1" x14ac:dyDescent="0.2"/>
    <row r="1079" ht="14.1" customHeight="1" x14ac:dyDescent="0.2"/>
    <row r="1080" ht="14.1" customHeight="1" x14ac:dyDescent="0.2"/>
    <row r="1081" ht="14.1" customHeight="1" x14ac:dyDescent="0.2"/>
    <row r="1082" ht="14.1" customHeight="1" x14ac:dyDescent="0.2"/>
    <row r="1083" ht="14.1" customHeight="1" x14ac:dyDescent="0.2"/>
    <row r="1084" ht="14.1" customHeight="1" x14ac:dyDescent="0.2"/>
    <row r="1085" ht="14.1" customHeight="1" x14ac:dyDescent="0.2"/>
    <row r="1086" ht="14.1" customHeight="1" x14ac:dyDescent="0.2"/>
    <row r="1087" ht="14.1" customHeight="1" x14ac:dyDescent="0.2"/>
    <row r="1088" ht="14.1" customHeight="1" x14ac:dyDescent="0.2"/>
    <row r="1089" ht="14.1" customHeight="1" x14ac:dyDescent="0.2"/>
    <row r="1090" ht="14.1" customHeight="1" x14ac:dyDescent="0.2"/>
    <row r="1091" ht="14.1" customHeight="1" x14ac:dyDescent="0.2"/>
    <row r="1092" ht="14.1" customHeight="1" x14ac:dyDescent="0.2"/>
    <row r="1093" ht="14.1" customHeight="1" x14ac:dyDescent="0.2"/>
    <row r="1094" ht="14.1" customHeight="1" x14ac:dyDescent="0.2"/>
    <row r="1095" ht="14.1" customHeight="1" x14ac:dyDescent="0.2"/>
    <row r="1096" ht="14.1" customHeight="1" x14ac:dyDescent="0.2"/>
    <row r="1097" ht="14.1" customHeight="1" x14ac:dyDescent="0.2"/>
    <row r="1098" ht="14.1" customHeight="1" x14ac:dyDescent="0.2"/>
    <row r="1099" ht="14.1" customHeight="1" x14ac:dyDescent="0.2"/>
    <row r="1100" ht="14.1" customHeight="1" x14ac:dyDescent="0.2"/>
    <row r="1101" ht="14.1" customHeight="1" x14ac:dyDescent="0.2"/>
    <row r="1102" ht="14.1" customHeight="1" x14ac:dyDescent="0.2"/>
    <row r="1103" ht="14.1" customHeight="1" x14ac:dyDescent="0.2"/>
    <row r="1104" ht="14.1" customHeight="1" x14ac:dyDescent="0.2"/>
    <row r="1105" ht="14.1" customHeight="1" x14ac:dyDescent="0.2"/>
    <row r="1106" ht="14.1" customHeight="1" x14ac:dyDescent="0.2"/>
    <row r="1107" ht="14.1" customHeight="1" x14ac:dyDescent="0.2"/>
    <row r="1108" ht="14.1" customHeight="1" x14ac:dyDescent="0.2"/>
    <row r="1109" ht="14.1" customHeight="1" x14ac:dyDescent="0.2"/>
    <row r="1110" ht="14.1" customHeight="1" x14ac:dyDescent="0.2"/>
    <row r="1111" ht="14.1" customHeight="1" x14ac:dyDescent="0.2"/>
    <row r="1112" ht="14.1" customHeight="1" x14ac:dyDescent="0.2"/>
    <row r="1113" ht="14.1" customHeight="1" x14ac:dyDescent="0.2"/>
    <row r="1114" ht="14.1" customHeight="1" x14ac:dyDescent="0.2"/>
    <row r="1115" ht="14.1" customHeight="1" x14ac:dyDescent="0.2"/>
    <row r="1116" ht="14.1" customHeight="1" x14ac:dyDescent="0.2"/>
    <row r="1117" ht="14.1" customHeight="1" x14ac:dyDescent="0.2"/>
    <row r="1118" ht="14.1" customHeight="1" x14ac:dyDescent="0.2"/>
    <row r="1119" ht="14.1" customHeight="1" x14ac:dyDescent="0.2"/>
    <row r="1120" ht="14.1" customHeight="1" x14ac:dyDescent="0.2"/>
    <row r="1121" ht="14.1" customHeight="1" x14ac:dyDescent="0.2"/>
    <row r="1122" ht="14.1" customHeight="1" x14ac:dyDescent="0.2"/>
    <row r="1123" ht="14.1" customHeight="1" x14ac:dyDescent="0.2"/>
    <row r="1124" ht="14.1" customHeight="1" x14ac:dyDescent="0.2"/>
    <row r="1125" ht="14.1" customHeight="1" x14ac:dyDescent="0.2"/>
    <row r="1126" ht="14.1" customHeight="1" x14ac:dyDescent="0.2"/>
    <row r="1127" ht="14.1" customHeight="1" x14ac:dyDescent="0.2"/>
    <row r="1128" ht="14.1" customHeight="1" x14ac:dyDescent="0.2"/>
    <row r="1129" ht="14.1" customHeight="1" x14ac:dyDescent="0.2"/>
    <row r="1130" ht="14.1" customHeight="1" x14ac:dyDescent="0.2"/>
    <row r="1131" ht="14.1" customHeight="1" x14ac:dyDescent="0.2"/>
    <row r="1132" ht="14.1" customHeight="1" x14ac:dyDescent="0.2"/>
    <row r="1133" ht="14.1" customHeight="1" x14ac:dyDescent="0.2"/>
    <row r="1134" ht="14.1" customHeight="1" x14ac:dyDescent="0.2"/>
    <row r="1135" ht="14.1" customHeight="1" x14ac:dyDescent="0.2"/>
    <row r="1136" ht="14.1" customHeight="1" x14ac:dyDescent="0.2"/>
    <row r="1137" ht="14.1" customHeight="1" x14ac:dyDescent="0.2"/>
    <row r="1138" ht="14.1" customHeight="1" x14ac:dyDescent="0.2"/>
    <row r="1139" ht="14.1" customHeight="1" x14ac:dyDescent="0.2"/>
    <row r="1140" ht="14.1" customHeight="1" x14ac:dyDescent="0.2"/>
    <row r="1141" ht="14.1" customHeight="1" x14ac:dyDescent="0.2"/>
    <row r="1142" ht="14.1" customHeight="1" x14ac:dyDescent="0.2"/>
    <row r="1143" ht="14.1" customHeight="1" x14ac:dyDescent="0.2"/>
    <row r="1144" ht="14.1" customHeight="1" x14ac:dyDescent="0.2"/>
    <row r="1145" ht="14.1" customHeight="1" x14ac:dyDescent="0.2"/>
    <row r="1146" ht="14.1" customHeight="1" x14ac:dyDescent="0.2"/>
    <row r="1147" ht="14.1" customHeight="1" x14ac:dyDescent="0.2"/>
    <row r="1148" ht="14.1" customHeight="1" x14ac:dyDescent="0.2"/>
    <row r="1149" ht="14.1" customHeight="1" x14ac:dyDescent="0.2"/>
    <row r="1150" ht="14.1" customHeight="1" x14ac:dyDescent="0.2"/>
    <row r="1151" ht="14.1" customHeight="1" x14ac:dyDescent="0.2"/>
    <row r="1152" ht="14.1" customHeight="1" x14ac:dyDescent="0.2"/>
    <row r="1153" ht="14.1" customHeight="1" x14ac:dyDescent="0.2"/>
    <row r="1154" ht="14.1" customHeight="1" x14ac:dyDescent="0.2"/>
    <row r="1155" ht="14.1" customHeight="1" x14ac:dyDescent="0.2"/>
    <row r="1156" ht="14.1" customHeight="1" x14ac:dyDescent="0.2"/>
    <row r="1157" ht="14.1" customHeight="1" x14ac:dyDescent="0.2"/>
    <row r="1158" ht="14.1" customHeight="1" x14ac:dyDescent="0.2"/>
    <row r="1159" ht="14.1" customHeight="1" x14ac:dyDescent="0.2"/>
    <row r="1160" ht="14.1" customHeight="1" x14ac:dyDescent="0.2"/>
    <row r="1161" ht="14.1" customHeight="1" x14ac:dyDescent="0.2"/>
    <row r="1162" ht="14.1" customHeight="1" x14ac:dyDescent="0.2"/>
    <row r="1163" ht="14.1" customHeight="1" x14ac:dyDescent="0.2"/>
    <row r="1164" ht="14.1" customHeight="1" x14ac:dyDescent="0.2"/>
    <row r="1165" ht="14.1" customHeight="1" x14ac:dyDescent="0.2"/>
    <row r="1166" ht="14.1" customHeight="1" x14ac:dyDescent="0.2"/>
    <row r="1167" ht="14.1" customHeight="1" x14ac:dyDescent="0.2"/>
    <row r="1168" ht="14.1" customHeight="1" x14ac:dyDescent="0.2"/>
    <row r="1169" ht="14.1" customHeight="1" x14ac:dyDescent="0.2"/>
    <row r="1170" ht="14.1" customHeight="1" x14ac:dyDescent="0.2"/>
    <row r="1171" ht="14.1" customHeight="1" x14ac:dyDescent="0.2"/>
    <row r="1172" ht="14.1" customHeight="1" x14ac:dyDescent="0.2"/>
    <row r="1173" ht="14.1" customHeight="1" x14ac:dyDescent="0.2"/>
    <row r="1174" ht="14.1" customHeight="1" x14ac:dyDescent="0.2"/>
    <row r="1175" ht="14.1" customHeight="1" x14ac:dyDescent="0.2"/>
    <row r="1176" ht="14.1" customHeight="1" x14ac:dyDescent="0.2"/>
    <row r="1177" ht="14.1" customHeight="1" x14ac:dyDescent="0.2"/>
    <row r="1178" ht="14.1" customHeight="1" x14ac:dyDescent="0.2"/>
    <row r="1179" ht="14.1" customHeight="1" x14ac:dyDescent="0.2"/>
    <row r="1180" ht="14.1" customHeight="1" x14ac:dyDescent="0.2"/>
    <row r="1181" ht="14.1" customHeight="1" x14ac:dyDescent="0.2"/>
    <row r="1182" ht="14.1" customHeight="1" x14ac:dyDescent="0.2"/>
    <row r="1183" ht="14.1" customHeight="1" x14ac:dyDescent="0.2"/>
    <row r="1184" ht="14.1" customHeight="1" x14ac:dyDescent="0.2"/>
    <row r="1185" ht="14.1" customHeight="1" x14ac:dyDescent="0.2"/>
    <row r="1186" ht="14.1" customHeight="1" x14ac:dyDescent="0.2"/>
    <row r="1187" ht="14.1" customHeight="1" x14ac:dyDescent="0.2"/>
    <row r="1188" ht="14.1" customHeight="1" x14ac:dyDescent="0.2"/>
    <row r="1189" ht="14.1" customHeight="1" x14ac:dyDescent="0.2"/>
    <row r="1190" ht="14.1" customHeight="1" x14ac:dyDescent="0.2"/>
    <row r="1191" ht="14.1" customHeight="1" x14ac:dyDescent="0.2"/>
    <row r="1192" ht="14.1" customHeight="1" x14ac:dyDescent="0.2"/>
    <row r="1193" ht="14.1" customHeight="1" x14ac:dyDescent="0.2"/>
    <row r="1194" ht="14.1" customHeight="1" x14ac:dyDescent="0.2"/>
    <row r="1195" ht="14.1" customHeight="1" x14ac:dyDescent="0.2"/>
    <row r="1196" ht="14.1" customHeight="1" x14ac:dyDescent="0.2"/>
    <row r="1197" ht="14.1" customHeight="1" x14ac:dyDescent="0.2"/>
    <row r="1198" ht="14.1" customHeight="1" x14ac:dyDescent="0.2"/>
    <row r="1199" ht="14.1" customHeight="1" x14ac:dyDescent="0.2"/>
    <row r="1200" ht="14.1" customHeight="1" x14ac:dyDescent="0.2"/>
    <row r="1201" ht="14.1" customHeight="1" x14ac:dyDescent="0.2"/>
    <row r="1202" ht="14.1" customHeight="1" x14ac:dyDescent="0.2"/>
    <row r="1203" ht="14.1" customHeight="1" x14ac:dyDescent="0.2"/>
    <row r="1204" ht="14.1" customHeight="1" x14ac:dyDescent="0.2"/>
    <row r="1205" ht="14.1" customHeight="1" x14ac:dyDescent="0.2"/>
    <row r="1206" ht="14.1" customHeight="1" x14ac:dyDescent="0.2"/>
    <row r="1207" ht="14.1" customHeight="1" x14ac:dyDescent="0.2"/>
    <row r="1208" ht="14.1" customHeight="1" x14ac:dyDescent="0.2"/>
    <row r="1209" ht="14.1" customHeight="1" x14ac:dyDescent="0.2"/>
    <row r="1210" ht="14.1" customHeight="1" x14ac:dyDescent="0.2"/>
    <row r="1211" ht="14.1" customHeight="1" x14ac:dyDescent="0.2"/>
    <row r="1212" ht="14.1" customHeight="1" x14ac:dyDescent="0.2"/>
    <row r="1213" ht="14.1" customHeight="1" x14ac:dyDescent="0.2"/>
    <row r="1214" ht="14.1" customHeight="1" x14ac:dyDescent="0.2"/>
    <row r="1215" ht="14.1" customHeight="1" x14ac:dyDescent="0.2"/>
    <row r="1216" ht="14.1" customHeight="1" x14ac:dyDescent="0.2"/>
    <row r="1217" ht="14.1" customHeight="1" x14ac:dyDescent="0.2"/>
    <row r="1218" ht="14.1" customHeight="1" x14ac:dyDescent="0.2"/>
    <row r="1219" ht="14.1" customHeight="1" x14ac:dyDescent="0.2"/>
    <row r="1220" ht="14.1" customHeight="1" x14ac:dyDescent="0.2"/>
    <row r="1221" ht="14.1" customHeight="1" x14ac:dyDescent="0.2"/>
    <row r="1222" ht="14.1" customHeight="1" x14ac:dyDescent="0.2"/>
    <row r="1223" ht="14.1" customHeight="1" x14ac:dyDescent="0.2"/>
    <row r="1224" ht="14.1" customHeight="1" x14ac:dyDescent="0.2"/>
    <row r="1225" ht="14.1" customHeight="1" x14ac:dyDescent="0.2"/>
    <row r="1226" ht="14.1" customHeight="1" x14ac:dyDescent="0.2"/>
    <row r="1227" ht="14.1" customHeight="1" x14ac:dyDescent="0.2"/>
    <row r="1228" ht="14.1" customHeight="1" x14ac:dyDescent="0.2"/>
    <row r="1229" ht="14.1" customHeight="1" x14ac:dyDescent="0.2"/>
    <row r="1230" ht="14.1" customHeight="1" x14ac:dyDescent="0.2"/>
    <row r="1231" ht="14.1" customHeight="1" x14ac:dyDescent="0.2"/>
    <row r="1232" ht="14.1" customHeight="1" x14ac:dyDescent="0.2"/>
    <row r="1233" ht="14.1" customHeight="1" x14ac:dyDescent="0.2"/>
    <row r="1234" ht="14.1" customHeight="1" x14ac:dyDescent="0.2"/>
    <row r="1235" ht="14.1" customHeight="1" x14ac:dyDescent="0.2"/>
    <row r="1236" ht="14.1" customHeight="1" x14ac:dyDescent="0.2"/>
    <row r="1237" ht="14.1" customHeight="1" x14ac:dyDescent="0.2"/>
    <row r="1238" ht="14.1" customHeight="1" x14ac:dyDescent="0.2"/>
    <row r="1239" ht="14.1" customHeight="1" x14ac:dyDescent="0.2"/>
    <row r="1240" ht="14.1" customHeight="1" x14ac:dyDescent="0.2"/>
    <row r="1241" ht="14.1" customHeight="1" x14ac:dyDescent="0.2"/>
    <row r="1242" ht="14.1" customHeight="1" x14ac:dyDescent="0.2"/>
    <row r="1243" ht="14.1" customHeight="1" x14ac:dyDescent="0.2"/>
    <row r="1244" ht="14.1" customHeight="1" x14ac:dyDescent="0.2"/>
    <row r="1245" ht="14.1" customHeight="1" x14ac:dyDescent="0.2"/>
  </sheetData>
  <mergeCells count="7">
    <mergeCell ref="A36:N36"/>
    <mergeCell ref="A37:N37"/>
    <mergeCell ref="K2:K3"/>
    <mergeCell ref="A30:N30"/>
    <mergeCell ref="A31:N31"/>
    <mergeCell ref="A32:N34"/>
    <mergeCell ref="A35:N35"/>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0.5" bottom="0.5" header="0.5" footer="0.5"/>
  <pageSetup scale="82" pageOrder="overThenDown" orientation="portrait" blackAndWhite="1"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2">
    <pageSetUpPr fitToPage="1"/>
  </sheetPr>
  <dimension ref="A1:P3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37.42578125" style="25" customWidth="1"/>
    <col min="2" max="2" width="6.42578125" style="26" bestFit="1"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2798</v>
      </c>
      <c r="D3" s="6"/>
      <c r="E3" s="11"/>
      <c r="F3" s="9"/>
      <c r="G3" s="11"/>
      <c r="H3" s="6"/>
      <c r="I3" s="11"/>
      <c r="J3" s="6"/>
      <c r="K3" s="1734"/>
      <c r="L3" s="6"/>
      <c r="M3" s="11"/>
      <c r="N3" s="6"/>
    </row>
    <row r="4" spans="1:16" s="4" customFormat="1" ht="15.75" x14ac:dyDescent="0.25">
      <c r="A4" s="1" t="s">
        <v>180</v>
      </c>
      <c r="B4" s="10" t="s">
        <v>1766</v>
      </c>
      <c r="C4" s="10" t="s">
        <v>2799</v>
      </c>
      <c r="D4" s="6"/>
      <c r="E4" s="11"/>
      <c r="F4" s="9"/>
      <c r="G4" s="11"/>
      <c r="H4" s="6"/>
      <c r="I4" s="11"/>
      <c r="J4" s="6"/>
      <c r="K4" s="11"/>
      <c r="L4" s="6"/>
      <c r="M4" s="11"/>
      <c r="N4" s="6"/>
    </row>
    <row r="5" spans="1:16" s="4" customFormat="1" ht="15.75" x14ac:dyDescent="0.2">
      <c r="A5" s="1" t="s">
        <v>183</v>
      </c>
      <c r="B5" s="12" t="s">
        <v>2800</v>
      </c>
      <c r="C5" s="12" t="s">
        <v>71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24" customFormat="1" x14ac:dyDescent="0.2">
      <c r="A10" s="35" t="s">
        <v>222</v>
      </c>
      <c r="B10" s="31"/>
    </row>
    <row r="11" spans="1:16" s="1506" customFormat="1" x14ac:dyDescent="0.2">
      <c r="A11" s="123" t="s">
        <v>71</v>
      </c>
      <c r="B11" s="117"/>
      <c r="M11" s="112"/>
      <c r="N11" s="118"/>
    </row>
    <row r="12" spans="1:16" s="1506" customFormat="1" x14ac:dyDescent="0.2">
      <c r="A12" s="124" t="s">
        <v>2801</v>
      </c>
      <c r="B12" s="117"/>
      <c r="C12" s="1507">
        <v>13260</v>
      </c>
      <c r="E12" s="1507">
        <v>14271</v>
      </c>
      <c r="G12" s="1508">
        <v>13300</v>
      </c>
      <c r="I12" s="1507">
        <v>14200</v>
      </c>
      <c r="K12" s="1507">
        <v>14200</v>
      </c>
      <c r="M12" s="112"/>
      <c r="N12" s="118"/>
    </row>
    <row r="13" spans="1:16" s="1506" customFormat="1" x14ac:dyDescent="0.2">
      <c r="A13" s="124" t="s">
        <v>2802</v>
      </c>
      <c r="B13" s="117"/>
      <c r="C13" s="1507">
        <v>2652</v>
      </c>
      <c r="E13" s="1507">
        <v>2854</v>
      </c>
      <c r="G13" s="1508">
        <v>2700</v>
      </c>
      <c r="I13" s="1507">
        <v>2840</v>
      </c>
      <c r="K13" s="1507">
        <v>2840</v>
      </c>
      <c r="M13" s="112"/>
      <c r="N13" s="118"/>
    </row>
    <row r="14" spans="1:16" s="1506" customFormat="1" x14ac:dyDescent="0.2">
      <c r="A14" s="124" t="s">
        <v>2803</v>
      </c>
      <c r="B14" s="117"/>
      <c r="C14" s="1507">
        <v>5</v>
      </c>
      <c r="E14" s="1507">
        <v>5</v>
      </c>
      <c r="G14" s="1508">
        <v>5</v>
      </c>
      <c r="I14" s="1507">
        <v>5</v>
      </c>
      <c r="K14" s="1507">
        <v>5</v>
      </c>
      <c r="M14" s="112"/>
      <c r="N14" s="118"/>
    </row>
    <row r="15" spans="1:16" s="1506" customFormat="1" x14ac:dyDescent="0.2">
      <c r="A15" s="124" t="s">
        <v>2804</v>
      </c>
      <c r="B15" s="117"/>
      <c r="C15" s="1507">
        <v>9545</v>
      </c>
      <c r="E15" s="1507">
        <v>11468</v>
      </c>
      <c r="G15" s="1508">
        <v>9600</v>
      </c>
      <c r="I15" s="1507">
        <v>11400</v>
      </c>
      <c r="K15" s="1507">
        <v>11400</v>
      </c>
      <c r="M15" s="112"/>
      <c r="N15" s="118"/>
    </row>
    <row r="16" spans="1:16" s="1506" customFormat="1" x14ac:dyDescent="0.2">
      <c r="A16" s="124" t="s">
        <v>2524</v>
      </c>
      <c r="B16" s="117"/>
      <c r="C16" s="1507">
        <v>2511</v>
      </c>
      <c r="E16" s="1507">
        <v>1968</v>
      </c>
      <c r="G16" s="1508">
        <v>2600</v>
      </c>
      <c r="I16" s="1507">
        <v>1900</v>
      </c>
      <c r="K16" s="1507">
        <v>1900</v>
      </c>
      <c r="M16" s="112"/>
      <c r="N16" s="118"/>
    </row>
    <row r="17" spans="1:14" s="1506" customFormat="1" x14ac:dyDescent="0.2">
      <c r="A17" s="124" t="s">
        <v>1020</v>
      </c>
      <c r="B17" s="117"/>
      <c r="C17" s="1507">
        <v>1204</v>
      </c>
      <c r="E17" s="1507">
        <v>835</v>
      </c>
      <c r="G17" s="1508">
        <v>1100</v>
      </c>
      <c r="I17" s="1507">
        <v>900</v>
      </c>
      <c r="K17" s="1507">
        <v>900</v>
      </c>
      <c r="M17" s="112"/>
      <c r="N17" s="118"/>
    </row>
    <row r="18" spans="1:14" s="24" customFormat="1" x14ac:dyDescent="0.2">
      <c r="A18" s="1509"/>
      <c r="B18" s="317"/>
    </row>
    <row r="19" spans="1:14" x14ac:dyDescent="0.2">
      <c r="A19" s="35" t="s">
        <v>194</v>
      </c>
      <c r="B19" s="25"/>
      <c r="C19" s="59"/>
      <c r="D19" s="60"/>
    </row>
    <row r="20" spans="1:14" x14ac:dyDescent="0.2">
      <c r="A20" s="35" t="s">
        <v>254</v>
      </c>
      <c r="B20" s="25"/>
      <c r="C20" s="59"/>
      <c r="D20" s="60"/>
    </row>
    <row r="21" spans="1:14" x14ac:dyDescent="0.2">
      <c r="A21" s="38" t="s">
        <v>332</v>
      </c>
      <c r="B21" s="25"/>
      <c r="C21" s="199">
        <v>0</v>
      </c>
      <c r="D21" s="60"/>
      <c r="E21" s="199">
        <v>0</v>
      </c>
      <c r="G21" s="199"/>
      <c r="I21" s="199">
        <v>0</v>
      </c>
      <c r="K21" s="199"/>
      <c r="M21" s="199"/>
    </row>
    <row r="22" spans="1:14" x14ac:dyDescent="0.2">
      <c r="A22" s="38" t="s">
        <v>256</v>
      </c>
      <c r="B22" s="25"/>
      <c r="C22" s="199">
        <v>0</v>
      </c>
      <c r="D22" s="60"/>
      <c r="E22" s="199">
        <f>E21/E30</f>
        <v>0</v>
      </c>
      <c r="G22" s="199"/>
      <c r="I22" s="199">
        <v>0</v>
      </c>
      <c r="K22" s="199"/>
      <c r="M22" s="199"/>
    </row>
    <row r="23" spans="1:14" x14ac:dyDescent="0.2">
      <c r="A23" s="38" t="s">
        <v>257</v>
      </c>
      <c r="B23" s="25"/>
      <c r="C23" s="199">
        <v>3</v>
      </c>
      <c r="D23" s="60"/>
      <c r="E23" s="199">
        <v>3</v>
      </c>
      <c r="G23" s="199"/>
      <c r="I23" s="199">
        <v>2</v>
      </c>
      <c r="K23" s="199"/>
      <c r="M23" s="199"/>
    </row>
    <row r="24" spans="1:14" x14ac:dyDescent="0.2">
      <c r="A24" s="38" t="s">
        <v>258</v>
      </c>
      <c r="B24" s="25"/>
      <c r="C24" s="1510">
        <v>0.42899999999999999</v>
      </c>
      <c r="D24" s="60"/>
      <c r="E24" s="1510">
        <f>E23/E30</f>
        <v>0.375</v>
      </c>
      <c r="G24" s="1511"/>
      <c r="I24" s="1510">
        <v>0.25</v>
      </c>
      <c r="K24" s="1510"/>
      <c r="M24" s="1511"/>
    </row>
    <row r="25" spans="1:14" x14ac:dyDescent="0.2">
      <c r="A25" s="38" t="s">
        <v>259</v>
      </c>
      <c r="B25" s="25"/>
      <c r="C25" s="199">
        <v>3</v>
      </c>
      <c r="D25" s="60"/>
      <c r="E25" s="199">
        <f>E21+E23</f>
        <v>3</v>
      </c>
      <c r="G25" s="199"/>
      <c r="I25" s="199">
        <v>2</v>
      </c>
      <c r="K25" s="199"/>
      <c r="M25" s="199"/>
    </row>
    <row r="26" spans="1:14" x14ac:dyDescent="0.2">
      <c r="A26" s="38" t="s">
        <v>260</v>
      </c>
      <c r="B26" s="25"/>
      <c r="C26" s="1511">
        <v>0.42899999999999999</v>
      </c>
      <c r="D26" s="60"/>
      <c r="E26" s="1511">
        <f>E25/E30</f>
        <v>0.375</v>
      </c>
      <c r="G26" s="1511"/>
      <c r="I26" s="1511">
        <v>0.25</v>
      </c>
      <c r="K26" s="1511"/>
      <c r="M26" s="1511"/>
    </row>
    <row r="27" spans="1:14" x14ac:dyDescent="0.2">
      <c r="A27" s="35" t="s">
        <v>1492</v>
      </c>
      <c r="B27" s="25"/>
      <c r="C27" s="59"/>
      <c r="D27" s="60"/>
    </row>
    <row r="28" spans="1:14" x14ac:dyDescent="0.2">
      <c r="A28" s="38" t="s">
        <v>196</v>
      </c>
      <c r="B28" s="25"/>
      <c r="C28" s="59"/>
      <c r="D28" s="60"/>
    </row>
    <row r="29" spans="1:14" ht="15" x14ac:dyDescent="0.25">
      <c r="A29" s="41" t="s">
        <v>522</v>
      </c>
      <c r="B29" s="25"/>
      <c r="C29" s="1512">
        <v>7</v>
      </c>
      <c r="D29" s="60"/>
      <c r="E29" s="1512">
        <v>8</v>
      </c>
      <c r="G29" s="59">
        <v>8</v>
      </c>
      <c r="I29" s="1512">
        <v>8</v>
      </c>
      <c r="K29" s="1512">
        <v>8</v>
      </c>
    </row>
    <row r="30" spans="1:14" ht="15" x14ac:dyDescent="0.25">
      <c r="A30" s="41" t="s">
        <v>198</v>
      </c>
      <c r="B30" s="25"/>
      <c r="C30" s="1512">
        <v>7</v>
      </c>
      <c r="D30" s="60"/>
      <c r="E30" s="1512">
        <f>E29</f>
        <v>8</v>
      </c>
      <c r="G30" s="59">
        <v>8</v>
      </c>
      <c r="I30" s="1512">
        <v>8</v>
      </c>
      <c r="K30" s="1512">
        <v>8</v>
      </c>
    </row>
    <row r="31" spans="1:14" ht="15" x14ac:dyDescent="0.25">
      <c r="A31" s="963" t="s">
        <v>199</v>
      </c>
      <c r="B31" s="25"/>
      <c r="C31" s="59"/>
      <c r="D31" s="60"/>
    </row>
    <row r="32" spans="1:14" ht="15" x14ac:dyDescent="0.25">
      <c r="A32" s="41" t="s">
        <v>71</v>
      </c>
      <c r="B32" s="25"/>
      <c r="C32" s="1512">
        <v>7</v>
      </c>
      <c r="D32" s="60"/>
      <c r="E32" s="1512">
        <v>8</v>
      </c>
      <c r="G32" s="59">
        <v>8</v>
      </c>
      <c r="I32" s="1512">
        <v>8</v>
      </c>
      <c r="K32" s="1512">
        <v>8</v>
      </c>
    </row>
    <row r="33" spans="1:14" ht="15" x14ac:dyDescent="0.25">
      <c r="A33" s="41" t="s">
        <v>198</v>
      </c>
      <c r="B33" s="25"/>
      <c r="C33" s="1512">
        <v>7</v>
      </c>
      <c r="D33" s="60"/>
      <c r="E33" s="1512">
        <f>E32</f>
        <v>8</v>
      </c>
      <c r="G33" s="59">
        <v>8</v>
      </c>
      <c r="I33" s="1512">
        <v>8</v>
      </c>
      <c r="K33" s="1512">
        <v>8</v>
      </c>
    </row>
    <row r="34" spans="1:14" x14ac:dyDescent="0.2">
      <c r="A34" s="29"/>
      <c r="C34" s="59"/>
      <c r="D34" s="60"/>
    </row>
    <row r="35" spans="1:14" x14ac:dyDescent="0.2">
      <c r="A35" s="1513" t="s">
        <v>200</v>
      </c>
      <c r="B35" s="25"/>
      <c r="E35" s="451"/>
      <c r="G35" s="451"/>
      <c r="I35" s="451"/>
      <c r="K35" s="451"/>
    </row>
    <row r="36" spans="1:14" ht="27.75" customHeight="1" x14ac:dyDescent="0.2">
      <c r="A36" s="1738" t="s">
        <v>524</v>
      </c>
      <c r="B36" s="1736"/>
      <c r="C36" s="1737"/>
      <c r="D36" s="1736"/>
      <c r="E36" s="1737"/>
      <c r="F36" s="1736"/>
      <c r="G36" s="1737"/>
      <c r="H36" s="1736"/>
      <c r="I36" s="1737"/>
      <c r="J36" s="1736"/>
      <c r="K36" s="1737"/>
      <c r="L36" s="1736"/>
      <c r="M36" s="1737"/>
      <c r="N36" s="1736"/>
    </row>
    <row r="37" spans="1:14" x14ac:dyDescent="0.2">
      <c r="B37" s="25"/>
    </row>
    <row r="38" spans="1:14" x14ac:dyDescent="0.2">
      <c r="B38" s="25"/>
    </row>
  </sheetData>
  <mergeCells count="2">
    <mergeCell ref="A36:N36"/>
    <mergeCell ref="K2:K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9" fitToHeight="99" pageOrder="overThenDown" orientation="portrait" blackAndWhite="1"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3">
    <pageSetUpPr fitToPage="1"/>
  </sheetPr>
  <dimension ref="A1:P44"/>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50.42578125" style="25" customWidth="1"/>
    <col min="2" max="2" width="6.42578125" style="26" bestFit="1"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2798</v>
      </c>
      <c r="D3" s="6"/>
      <c r="E3" s="11"/>
      <c r="F3" s="9"/>
      <c r="G3" s="11"/>
      <c r="H3" s="6"/>
      <c r="I3" s="11"/>
      <c r="J3" s="6"/>
      <c r="K3" s="1734"/>
      <c r="L3" s="6"/>
      <c r="M3" s="11"/>
      <c r="N3" s="6"/>
    </row>
    <row r="4" spans="1:16" s="4" customFormat="1" ht="15.75" x14ac:dyDescent="0.25">
      <c r="A4" s="1" t="s">
        <v>180</v>
      </c>
      <c r="B4" s="10" t="s">
        <v>1766</v>
      </c>
      <c r="C4" s="10" t="s">
        <v>40</v>
      </c>
      <c r="D4" s="6"/>
      <c r="E4" s="11"/>
      <c r="F4" s="9"/>
      <c r="G4" s="11"/>
      <c r="H4" s="6"/>
      <c r="I4" s="11"/>
      <c r="J4" s="6"/>
      <c r="K4" s="11"/>
      <c r="L4" s="6"/>
      <c r="M4" s="11"/>
      <c r="N4" s="6"/>
    </row>
    <row r="5" spans="1:16" s="4" customFormat="1" ht="15.75" x14ac:dyDescent="0.2">
      <c r="A5" s="1" t="s">
        <v>183</v>
      </c>
      <c r="B5" s="12" t="s">
        <v>2805</v>
      </c>
      <c r="C5" s="12" t="s">
        <v>72</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24" customFormat="1" x14ac:dyDescent="0.2">
      <c r="A10" s="35" t="s">
        <v>222</v>
      </c>
      <c r="B10" s="31"/>
    </row>
    <row r="11" spans="1:16" s="24" customFormat="1" x14ac:dyDescent="0.2">
      <c r="A11" s="35" t="s">
        <v>2806</v>
      </c>
      <c r="B11" s="36"/>
      <c r="M11" s="37"/>
      <c r="N11" s="37"/>
    </row>
    <row r="12" spans="1:16" s="24" customFormat="1" x14ac:dyDescent="0.2">
      <c r="A12" s="41" t="s">
        <v>2807</v>
      </c>
      <c r="B12" s="39"/>
      <c r="M12" s="77"/>
      <c r="N12" s="40"/>
    </row>
    <row r="13" spans="1:16" s="24" customFormat="1" x14ac:dyDescent="0.2">
      <c r="A13" s="90" t="s">
        <v>2808</v>
      </c>
      <c r="B13" s="39"/>
      <c r="C13" s="1088">
        <v>105000</v>
      </c>
      <c r="D13" s="308"/>
      <c r="E13" s="1088">
        <v>105000</v>
      </c>
      <c r="F13" s="308"/>
      <c r="G13" s="321">
        <v>105000</v>
      </c>
      <c r="I13" s="1088">
        <v>105000</v>
      </c>
      <c r="K13" s="1088">
        <v>105000</v>
      </c>
      <c r="M13" s="76"/>
      <c r="N13" s="40"/>
    </row>
    <row r="14" spans="1:16" s="24" customFormat="1" x14ac:dyDescent="0.2">
      <c r="A14" s="90" t="s">
        <v>2809</v>
      </c>
      <c r="B14" s="39"/>
      <c r="C14" s="1088">
        <v>50000</v>
      </c>
      <c r="D14" s="308"/>
      <c r="E14" s="1088">
        <v>50000</v>
      </c>
      <c r="F14" s="308"/>
      <c r="G14" s="321">
        <v>50000</v>
      </c>
      <c r="I14" s="1088">
        <v>50000</v>
      </c>
      <c r="K14" s="1088">
        <v>50000</v>
      </c>
      <c r="M14" s="76"/>
      <c r="N14" s="40"/>
    </row>
    <row r="15" spans="1:16" s="24" customFormat="1" x14ac:dyDescent="0.2">
      <c r="A15" s="90" t="s">
        <v>2810</v>
      </c>
      <c r="B15" s="39"/>
      <c r="C15" s="308"/>
      <c r="D15" s="308"/>
      <c r="E15" s="308"/>
      <c r="F15" s="308"/>
      <c r="G15" s="321"/>
      <c r="I15" s="308"/>
      <c r="K15" s="308"/>
      <c r="M15" s="76"/>
      <c r="N15" s="40"/>
    </row>
    <row r="16" spans="1:16" s="24" customFormat="1" x14ac:dyDescent="0.2">
      <c r="A16" s="131" t="s">
        <v>2811</v>
      </c>
      <c r="B16" s="39"/>
      <c r="C16" s="1514">
        <v>741</v>
      </c>
      <c r="D16" s="308"/>
      <c r="E16" s="1514">
        <v>711</v>
      </c>
      <c r="F16" s="308"/>
      <c r="G16" s="321">
        <v>700</v>
      </c>
      <c r="I16" s="1514">
        <v>750</v>
      </c>
      <c r="K16" s="1514">
        <v>800</v>
      </c>
      <c r="M16" s="76"/>
      <c r="N16" s="40"/>
    </row>
    <row r="17" spans="1:14" s="24" customFormat="1" x14ac:dyDescent="0.2">
      <c r="A17" s="131" t="s">
        <v>2812</v>
      </c>
      <c r="B17" s="39"/>
      <c r="C17" s="1514">
        <v>6524</v>
      </c>
      <c r="D17" s="308"/>
      <c r="E17" s="1514">
        <v>6320</v>
      </c>
      <c r="F17" s="308"/>
      <c r="G17" s="321">
        <v>6000</v>
      </c>
      <c r="I17" s="1514">
        <v>6600</v>
      </c>
      <c r="K17" s="1514">
        <v>6700</v>
      </c>
      <c r="M17" s="76"/>
      <c r="N17" s="40"/>
    </row>
    <row r="18" spans="1:14" s="24" customFormat="1" x14ac:dyDescent="0.2">
      <c r="A18" s="90" t="s">
        <v>2813</v>
      </c>
      <c r="B18" s="39"/>
      <c r="C18" s="1514">
        <v>5387</v>
      </c>
      <c r="D18" s="308"/>
      <c r="E18" s="1514">
        <v>5408</v>
      </c>
      <c r="F18" s="308"/>
      <c r="G18" s="321">
        <v>5000</v>
      </c>
      <c r="I18" s="1514">
        <v>5500</v>
      </c>
      <c r="K18" s="1514">
        <v>6000</v>
      </c>
      <c r="M18" s="76"/>
      <c r="N18" s="40"/>
    </row>
    <row r="19" spans="1:14" s="24" customFormat="1" x14ac:dyDescent="0.2">
      <c r="A19" s="90" t="s">
        <v>2814</v>
      </c>
      <c r="B19" s="39"/>
      <c r="C19" s="1514">
        <v>1307</v>
      </c>
      <c r="D19" s="308"/>
      <c r="E19" s="1514">
        <v>1188</v>
      </c>
      <c r="F19" s="308"/>
      <c r="G19" s="321">
        <v>1200</v>
      </c>
      <c r="I19" s="1514">
        <v>1300</v>
      </c>
      <c r="K19" s="1514">
        <v>1400</v>
      </c>
      <c r="M19" s="76"/>
      <c r="N19" s="40"/>
    </row>
    <row r="20" spans="1:14" s="24" customFormat="1" x14ac:dyDescent="0.2">
      <c r="A20" s="90" t="s">
        <v>2815</v>
      </c>
      <c r="B20" s="39"/>
      <c r="C20" s="1514">
        <v>297</v>
      </c>
      <c r="D20" s="308"/>
      <c r="E20" s="1514">
        <v>253</v>
      </c>
      <c r="F20" s="308"/>
      <c r="G20" s="321">
        <v>250</v>
      </c>
      <c r="I20" s="1514">
        <v>250</v>
      </c>
      <c r="K20" s="1514">
        <v>275</v>
      </c>
      <c r="M20" s="76"/>
      <c r="N20" s="40"/>
    </row>
    <row r="21" spans="1:14" s="24" customFormat="1" x14ac:dyDescent="0.2">
      <c r="A21" s="41" t="s">
        <v>2816</v>
      </c>
      <c r="B21" s="39"/>
      <c r="C21" s="1514">
        <v>128</v>
      </c>
      <c r="D21" s="308"/>
      <c r="E21" s="1514">
        <v>155</v>
      </c>
      <c r="F21" s="308"/>
      <c r="G21" s="321">
        <v>125</v>
      </c>
      <c r="I21" s="1514">
        <v>125</v>
      </c>
      <c r="K21" s="1514">
        <v>130</v>
      </c>
      <c r="M21" s="76"/>
      <c r="N21" s="40"/>
    </row>
    <row r="22" spans="1:14" s="24" customFormat="1" x14ac:dyDescent="0.2">
      <c r="A22" s="41" t="s">
        <v>2817</v>
      </c>
      <c r="B22" s="39"/>
      <c r="C22" s="1514">
        <v>144</v>
      </c>
      <c r="D22" s="308"/>
      <c r="E22" s="1514">
        <v>149</v>
      </c>
      <c r="F22" s="308"/>
      <c r="G22" s="321">
        <v>150</v>
      </c>
      <c r="I22" s="1514">
        <v>150</v>
      </c>
      <c r="K22" s="1514">
        <v>175</v>
      </c>
      <c r="M22" s="76"/>
      <c r="N22" s="40"/>
    </row>
    <row r="23" spans="1:14" s="24" customFormat="1" x14ac:dyDescent="0.2">
      <c r="A23" s="1509"/>
      <c r="B23" s="317"/>
    </row>
    <row r="24" spans="1:14" x14ac:dyDescent="0.2">
      <c r="A24" s="35" t="s">
        <v>194</v>
      </c>
      <c r="B24" s="25"/>
      <c r="C24" s="59"/>
      <c r="D24" s="60"/>
    </row>
    <row r="25" spans="1:14" x14ac:dyDescent="0.2">
      <c r="A25" s="35" t="s">
        <v>254</v>
      </c>
      <c r="B25" s="25"/>
      <c r="C25" s="59"/>
      <c r="D25" s="60"/>
    </row>
    <row r="26" spans="1:14" x14ac:dyDescent="0.2">
      <c r="A26" s="38" t="s">
        <v>332</v>
      </c>
      <c r="B26" s="25"/>
      <c r="C26" s="199">
        <v>0</v>
      </c>
      <c r="D26" s="60"/>
      <c r="E26" s="199">
        <v>0</v>
      </c>
      <c r="G26" s="199"/>
      <c r="I26" s="199">
        <v>0</v>
      </c>
      <c r="K26" s="199"/>
      <c r="M26" s="199"/>
    </row>
    <row r="27" spans="1:14" x14ac:dyDescent="0.2">
      <c r="A27" s="38" t="s">
        <v>256</v>
      </c>
      <c r="B27" s="25"/>
      <c r="C27" s="199">
        <f>C26/C36</f>
        <v>0</v>
      </c>
      <c r="D27" s="60"/>
      <c r="E27" s="199">
        <f>E26/E36</f>
        <v>0</v>
      </c>
      <c r="G27" s="199"/>
      <c r="I27" s="199">
        <v>0</v>
      </c>
      <c r="K27" s="199"/>
      <c r="M27" s="199"/>
    </row>
    <row r="28" spans="1:14" x14ac:dyDescent="0.2">
      <c r="A28" s="38" t="s">
        <v>257</v>
      </c>
      <c r="B28" s="25"/>
      <c r="C28" s="199">
        <v>9</v>
      </c>
      <c r="D28" s="60"/>
      <c r="E28" s="199">
        <v>9</v>
      </c>
      <c r="G28" s="199"/>
      <c r="I28" s="199">
        <v>9</v>
      </c>
      <c r="K28" s="199"/>
      <c r="M28" s="199"/>
    </row>
    <row r="29" spans="1:14" x14ac:dyDescent="0.2">
      <c r="A29" s="38" t="s">
        <v>258</v>
      </c>
      <c r="B29" s="25"/>
      <c r="C29" s="1511">
        <v>0.36</v>
      </c>
      <c r="D29" s="60"/>
      <c r="E29" s="1511">
        <f>E28/E36</f>
        <v>0.36</v>
      </c>
      <c r="G29" s="1511"/>
      <c r="I29" s="1511">
        <v>0.39100000000000001</v>
      </c>
      <c r="K29" s="1511"/>
      <c r="M29" s="1511"/>
    </row>
    <row r="30" spans="1:14" x14ac:dyDescent="0.2">
      <c r="A30" s="38" t="s">
        <v>259</v>
      </c>
      <c r="B30" s="25"/>
      <c r="C30" s="199">
        <v>9</v>
      </c>
      <c r="D30" s="60"/>
      <c r="E30" s="199">
        <f>E26+E28</f>
        <v>9</v>
      </c>
      <c r="G30" s="199"/>
      <c r="I30" s="199">
        <v>9</v>
      </c>
      <c r="K30" s="199"/>
      <c r="M30" s="199"/>
    </row>
    <row r="31" spans="1:14" x14ac:dyDescent="0.2">
      <c r="A31" s="38" t="s">
        <v>260</v>
      </c>
      <c r="B31" s="25"/>
      <c r="C31" s="1510">
        <v>0.36</v>
      </c>
      <c r="D31" s="60"/>
      <c r="E31" s="1510">
        <f>E30/E36</f>
        <v>0.36</v>
      </c>
      <c r="G31" s="1511"/>
      <c r="I31" s="1510">
        <v>0.39100000000000001</v>
      </c>
      <c r="K31" s="1510"/>
      <c r="M31" s="1511"/>
    </row>
    <row r="32" spans="1:14" x14ac:dyDescent="0.2">
      <c r="A32" s="35" t="s">
        <v>1492</v>
      </c>
      <c r="B32" s="25"/>
      <c r="C32" s="59"/>
      <c r="D32" s="60"/>
    </row>
    <row r="33" spans="1:14" x14ac:dyDescent="0.2">
      <c r="A33" s="38" t="s">
        <v>196</v>
      </c>
      <c r="B33" s="25"/>
      <c r="C33" s="59"/>
      <c r="D33" s="60"/>
    </row>
    <row r="34" spans="1:14" ht="15" x14ac:dyDescent="0.25">
      <c r="A34" s="41" t="s">
        <v>522</v>
      </c>
      <c r="B34" s="25"/>
      <c r="C34" s="1512">
        <v>19</v>
      </c>
      <c r="D34" s="60"/>
      <c r="E34" s="1512">
        <v>19</v>
      </c>
      <c r="G34" s="59">
        <v>20</v>
      </c>
      <c r="I34" s="1512">
        <v>17</v>
      </c>
      <c r="K34" s="1512">
        <v>20</v>
      </c>
    </row>
    <row r="35" spans="1:14" ht="15" x14ac:dyDescent="0.25">
      <c r="A35" s="41" t="s">
        <v>261</v>
      </c>
      <c r="B35" s="25"/>
      <c r="C35" s="1512">
        <v>6</v>
      </c>
      <c r="D35" s="60"/>
      <c r="E35" s="1512">
        <v>6</v>
      </c>
      <c r="G35" s="59">
        <v>7</v>
      </c>
      <c r="I35" s="1512">
        <v>6</v>
      </c>
      <c r="K35" s="1512">
        <v>7</v>
      </c>
    </row>
    <row r="36" spans="1:14" ht="15" x14ac:dyDescent="0.25">
      <c r="A36" s="41" t="s">
        <v>198</v>
      </c>
      <c r="B36" s="25"/>
      <c r="C36" s="1512">
        <v>25</v>
      </c>
      <c r="D36" s="60"/>
      <c r="E36" s="1512">
        <f>E34+E35</f>
        <v>25</v>
      </c>
      <c r="G36" s="59">
        <v>27</v>
      </c>
      <c r="I36" s="1512">
        <v>23</v>
      </c>
      <c r="K36" s="1512">
        <v>27</v>
      </c>
    </row>
    <row r="37" spans="1:14" ht="15" x14ac:dyDescent="0.25">
      <c r="A37" s="963" t="s">
        <v>199</v>
      </c>
      <c r="B37" s="25"/>
      <c r="C37" s="59"/>
      <c r="D37" s="60"/>
    </row>
    <row r="38" spans="1:14" ht="15" x14ac:dyDescent="0.25">
      <c r="A38" s="41" t="s">
        <v>2818</v>
      </c>
      <c r="B38" s="39"/>
      <c r="C38" s="1512">
        <v>25</v>
      </c>
      <c r="D38" s="60"/>
      <c r="E38" s="1512">
        <v>25</v>
      </c>
      <c r="G38" s="59">
        <v>27</v>
      </c>
      <c r="I38" s="1512">
        <v>23</v>
      </c>
      <c r="K38" s="1512">
        <v>27</v>
      </c>
      <c r="M38" s="577"/>
      <c r="N38" s="63"/>
    </row>
    <row r="39" spans="1:14" ht="15" x14ac:dyDescent="0.25">
      <c r="A39" s="41" t="s">
        <v>198</v>
      </c>
      <c r="C39" s="1512">
        <v>25</v>
      </c>
      <c r="D39" s="60"/>
      <c r="E39" s="1512">
        <f>E38</f>
        <v>25</v>
      </c>
      <c r="G39" s="59">
        <v>27</v>
      </c>
      <c r="I39" s="1512">
        <v>23</v>
      </c>
      <c r="K39" s="1512">
        <v>27</v>
      </c>
    </row>
    <row r="40" spans="1:14" x14ac:dyDescent="0.2">
      <c r="A40" s="29"/>
      <c r="C40" s="59"/>
      <c r="D40" s="60"/>
    </row>
    <row r="41" spans="1:14" x14ac:dyDescent="0.2">
      <c r="A41" s="1513" t="s">
        <v>200</v>
      </c>
      <c r="B41" s="25"/>
      <c r="E41" s="451"/>
      <c r="G41" s="451"/>
      <c r="I41" s="451"/>
      <c r="K41" s="451"/>
    </row>
    <row r="42" spans="1:14" ht="27.75" customHeight="1" x14ac:dyDescent="0.2">
      <c r="A42" s="1738" t="s">
        <v>524</v>
      </c>
      <c r="B42" s="1736"/>
      <c r="C42" s="1737"/>
      <c r="D42" s="1736"/>
      <c r="E42" s="1737"/>
      <c r="F42" s="1736"/>
      <c r="G42" s="1737"/>
      <c r="H42" s="1736"/>
      <c r="I42" s="1737"/>
      <c r="J42" s="1736"/>
      <c r="K42" s="1737"/>
      <c r="L42" s="1736"/>
      <c r="M42" s="1737"/>
      <c r="N42" s="1736"/>
    </row>
    <row r="43" spans="1:14" x14ac:dyDescent="0.2">
      <c r="B43" s="25"/>
    </row>
    <row r="44" spans="1:14" x14ac:dyDescent="0.2">
      <c r="B44" s="25"/>
    </row>
  </sheetData>
  <mergeCells count="2">
    <mergeCell ref="A42:N42"/>
    <mergeCell ref="K2:K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1" fitToHeight="99" pageOrder="overThenDown" orientation="portrait" blackAndWhite="1"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4">
    <pageSetUpPr fitToPage="1"/>
  </sheetPr>
  <dimension ref="A1:P4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36.7109375" style="25" customWidth="1"/>
    <col min="2" max="2" width="6.42578125" style="26" bestFit="1"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2819</v>
      </c>
      <c r="D3" s="6"/>
      <c r="E3" s="11"/>
      <c r="F3" s="9"/>
      <c r="G3" s="11"/>
      <c r="H3" s="6"/>
      <c r="I3" s="11"/>
      <c r="J3" s="6"/>
      <c r="K3" s="1734"/>
      <c r="L3" s="6"/>
      <c r="M3" s="11"/>
      <c r="N3" s="6"/>
    </row>
    <row r="4" spans="1:16" s="4" customFormat="1" ht="15.75" x14ac:dyDescent="0.25">
      <c r="A4" s="1" t="s">
        <v>180</v>
      </c>
      <c r="B4" s="10" t="s">
        <v>1766</v>
      </c>
      <c r="C4" s="10" t="s">
        <v>40</v>
      </c>
      <c r="D4" s="6"/>
      <c r="E4" s="11"/>
      <c r="F4" s="9"/>
      <c r="G4" s="11"/>
      <c r="H4" s="6"/>
      <c r="I4" s="11"/>
      <c r="J4" s="6"/>
      <c r="K4" s="11"/>
      <c r="L4" s="6"/>
      <c r="M4" s="11"/>
      <c r="N4" s="6"/>
    </row>
    <row r="5" spans="1:16" s="4" customFormat="1" ht="15.75" x14ac:dyDescent="0.2">
      <c r="A5" s="1" t="s">
        <v>183</v>
      </c>
      <c r="B5" s="12" t="s">
        <v>2820</v>
      </c>
      <c r="C5" s="12" t="s">
        <v>73</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24" customFormat="1" x14ac:dyDescent="0.2">
      <c r="A10" s="35" t="s">
        <v>222</v>
      </c>
      <c r="B10" s="31"/>
    </row>
    <row r="11" spans="1:16" s="24" customFormat="1" x14ac:dyDescent="0.2">
      <c r="A11" s="35" t="s">
        <v>2821</v>
      </c>
      <c r="B11" s="39"/>
      <c r="M11" s="76"/>
      <c r="N11" s="40"/>
    </row>
    <row r="12" spans="1:16" s="24" customFormat="1" x14ac:dyDescent="0.2">
      <c r="A12" s="38" t="s">
        <v>2822</v>
      </c>
      <c r="B12" s="36"/>
      <c r="M12" s="40"/>
      <c r="N12" s="40"/>
    </row>
    <row r="13" spans="1:16" s="24" customFormat="1" x14ac:dyDescent="0.2">
      <c r="A13" s="41" t="s">
        <v>2444</v>
      </c>
      <c r="B13" s="39"/>
      <c r="C13" s="298">
        <v>137</v>
      </c>
      <c r="D13" s="308"/>
      <c r="E13" s="298">
        <v>156</v>
      </c>
      <c r="F13" s="308"/>
      <c r="G13" s="321">
        <v>150</v>
      </c>
      <c r="I13" s="321">
        <v>157</v>
      </c>
      <c r="K13" s="321">
        <v>150</v>
      </c>
      <c r="M13" s="76"/>
      <c r="N13" s="40"/>
    </row>
    <row r="14" spans="1:16" s="24" customFormat="1" x14ac:dyDescent="0.2">
      <c r="A14" s="41" t="s">
        <v>2445</v>
      </c>
      <c r="B14" s="39"/>
      <c r="C14" s="298">
        <v>123</v>
      </c>
      <c r="D14" s="308"/>
      <c r="E14" s="298">
        <v>112</v>
      </c>
      <c r="F14" s="308"/>
      <c r="G14" s="321">
        <v>180</v>
      </c>
      <c r="I14" s="321">
        <v>166</v>
      </c>
      <c r="K14" s="321">
        <v>185</v>
      </c>
      <c r="M14" s="76"/>
      <c r="N14" s="40"/>
    </row>
    <row r="15" spans="1:16" s="24" customFormat="1" x14ac:dyDescent="0.2">
      <c r="A15" s="41" t="s">
        <v>2823</v>
      </c>
      <c r="B15" s="39"/>
      <c r="C15" s="298">
        <v>89</v>
      </c>
      <c r="D15" s="308"/>
      <c r="E15" s="298">
        <v>107</v>
      </c>
      <c r="F15" s="308"/>
      <c r="G15" s="321">
        <v>89</v>
      </c>
      <c r="I15" s="321">
        <v>96</v>
      </c>
      <c r="K15" s="321">
        <v>89</v>
      </c>
      <c r="M15" s="76"/>
      <c r="N15" s="40"/>
    </row>
    <row r="16" spans="1:16" s="24" customFormat="1" x14ac:dyDescent="0.2">
      <c r="A16" s="41" t="s">
        <v>2824</v>
      </c>
      <c r="B16" s="39"/>
      <c r="C16" s="298">
        <v>54</v>
      </c>
      <c r="D16" s="308"/>
      <c r="E16" s="298">
        <v>60</v>
      </c>
      <c r="F16" s="308"/>
      <c r="G16" s="321">
        <v>105</v>
      </c>
      <c r="I16" s="321">
        <v>93</v>
      </c>
      <c r="K16" s="321">
        <v>105</v>
      </c>
      <c r="M16" s="76"/>
      <c r="N16" s="40"/>
    </row>
    <row r="17" spans="1:14" s="24" customFormat="1" x14ac:dyDescent="0.2">
      <c r="A17" s="38" t="s">
        <v>2825</v>
      </c>
      <c r="B17" s="39"/>
      <c r="C17" s="1515"/>
      <c r="E17" s="1515"/>
      <c r="G17" s="316"/>
      <c r="I17" s="316"/>
      <c r="K17" s="316"/>
      <c r="M17" s="76"/>
      <c r="N17" s="40"/>
    </row>
    <row r="18" spans="1:14" s="24" customFormat="1" x14ac:dyDescent="0.2">
      <c r="A18" s="41" t="s">
        <v>2826</v>
      </c>
      <c r="B18" s="39"/>
      <c r="C18" s="298">
        <v>57</v>
      </c>
      <c r="D18" s="308"/>
      <c r="E18" s="298">
        <v>56</v>
      </c>
      <c r="F18" s="308"/>
      <c r="G18" s="321">
        <v>70</v>
      </c>
      <c r="I18" s="321">
        <v>69</v>
      </c>
      <c r="K18" s="321">
        <v>75</v>
      </c>
      <c r="M18" s="76"/>
      <c r="N18" s="40"/>
    </row>
    <row r="19" spans="1:14" s="24" customFormat="1" x14ac:dyDescent="0.2">
      <c r="A19" s="41" t="s">
        <v>2827</v>
      </c>
      <c r="B19" s="39"/>
      <c r="C19" s="298">
        <v>54</v>
      </c>
      <c r="D19" s="308"/>
      <c r="E19" s="298">
        <v>58</v>
      </c>
      <c r="F19" s="308"/>
      <c r="G19" s="321">
        <v>45</v>
      </c>
      <c r="I19" s="321">
        <v>31</v>
      </c>
      <c r="K19" s="321">
        <v>32</v>
      </c>
      <c r="M19" s="76"/>
      <c r="N19" s="40"/>
    </row>
    <row r="20" spans="1:14" s="24" customFormat="1" x14ac:dyDescent="0.2">
      <c r="A20" s="41" t="s">
        <v>2444</v>
      </c>
      <c r="B20" s="39"/>
      <c r="C20" s="298">
        <v>13</v>
      </c>
      <c r="D20" s="308"/>
      <c r="E20" s="298">
        <v>19</v>
      </c>
      <c r="F20" s="308"/>
      <c r="G20" s="321">
        <v>11</v>
      </c>
      <c r="I20" s="321">
        <v>13</v>
      </c>
      <c r="K20" s="321">
        <v>11</v>
      </c>
      <c r="M20" s="76"/>
      <c r="N20" s="40"/>
    </row>
    <row r="21" spans="1:14" s="24" customFormat="1" x14ac:dyDescent="0.2">
      <c r="A21" s="41" t="s">
        <v>2445</v>
      </c>
      <c r="B21" s="39"/>
      <c r="C21" s="298">
        <v>22</v>
      </c>
      <c r="D21" s="308"/>
      <c r="E21" s="298">
        <v>22</v>
      </c>
      <c r="F21" s="308"/>
      <c r="G21" s="321">
        <v>25</v>
      </c>
      <c r="I21" s="321">
        <v>25</v>
      </c>
      <c r="K21" s="321">
        <v>25</v>
      </c>
      <c r="M21" s="76"/>
      <c r="N21" s="40"/>
    </row>
    <row r="22" spans="1:14" s="24" customFormat="1" x14ac:dyDescent="0.2">
      <c r="A22" s="41" t="s">
        <v>2823</v>
      </c>
      <c r="B22" s="39"/>
      <c r="C22" s="298">
        <v>15</v>
      </c>
      <c r="D22" s="308"/>
      <c r="E22" s="298">
        <v>17</v>
      </c>
      <c r="F22" s="308"/>
      <c r="G22" s="321">
        <v>29</v>
      </c>
      <c r="I22" s="321">
        <v>19</v>
      </c>
      <c r="K22" s="321">
        <v>29</v>
      </c>
      <c r="M22" s="76"/>
      <c r="N22" s="40"/>
    </row>
    <row r="23" spans="1:14" s="24" customFormat="1" x14ac:dyDescent="0.2">
      <c r="A23" s="41" t="s">
        <v>2824</v>
      </c>
      <c r="B23" s="39"/>
      <c r="C23" s="298">
        <v>21</v>
      </c>
      <c r="D23" s="308"/>
      <c r="E23" s="298">
        <v>22</v>
      </c>
      <c r="F23" s="308"/>
      <c r="G23" s="321">
        <v>27</v>
      </c>
      <c r="I23" s="321">
        <v>23</v>
      </c>
      <c r="K23" s="321">
        <v>32</v>
      </c>
      <c r="M23" s="76"/>
      <c r="N23" s="40"/>
    </row>
    <row r="24" spans="1:14" s="24" customFormat="1" x14ac:dyDescent="0.2">
      <c r="A24" s="41" t="s">
        <v>2828</v>
      </c>
      <c r="B24" s="39"/>
      <c r="C24" s="298">
        <v>74</v>
      </c>
      <c r="D24" s="308"/>
      <c r="E24" s="298">
        <v>88</v>
      </c>
      <c r="F24" s="308"/>
      <c r="G24" s="321">
        <v>80</v>
      </c>
      <c r="I24" s="321">
        <v>80</v>
      </c>
      <c r="K24" s="321">
        <v>85</v>
      </c>
      <c r="M24" s="76"/>
      <c r="N24" s="40"/>
    </row>
    <row r="25" spans="1:14" s="24" customFormat="1" x14ac:dyDescent="0.2">
      <c r="A25" s="41" t="s">
        <v>2829</v>
      </c>
      <c r="B25" s="39"/>
      <c r="C25" s="298">
        <v>62</v>
      </c>
      <c r="D25" s="308"/>
      <c r="E25" s="298">
        <v>8</v>
      </c>
      <c r="F25" s="308"/>
      <c r="G25" s="321">
        <v>8</v>
      </c>
      <c r="I25" s="321">
        <v>7</v>
      </c>
      <c r="K25" s="321">
        <v>7</v>
      </c>
      <c r="M25" s="76"/>
      <c r="N25" s="40"/>
    </row>
    <row r="26" spans="1:14" s="24" customFormat="1" x14ac:dyDescent="0.2">
      <c r="A26" s="38" t="s">
        <v>2830</v>
      </c>
      <c r="B26" s="39"/>
      <c r="C26" s="1515"/>
      <c r="E26" s="1515"/>
      <c r="G26" s="316"/>
      <c r="I26" s="316"/>
      <c r="K26" s="316"/>
      <c r="M26" s="76"/>
      <c r="N26" s="40"/>
    </row>
    <row r="27" spans="1:14" s="24" customFormat="1" x14ac:dyDescent="0.2">
      <c r="A27" s="41" t="s">
        <v>2831</v>
      </c>
      <c r="B27" s="39"/>
      <c r="C27" s="298">
        <v>644</v>
      </c>
      <c r="D27" s="308"/>
      <c r="E27" s="298">
        <v>453</v>
      </c>
      <c r="F27" s="308"/>
      <c r="G27" s="321">
        <v>642</v>
      </c>
      <c r="I27" s="321">
        <v>789</v>
      </c>
      <c r="K27" s="321">
        <v>642</v>
      </c>
      <c r="M27" s="76"/>
      <c r="N27" s="40"/>
    </row>
    <row r="28" spans="1:14" s="24" customFormat="1" x14ac:dyDescent="0.2">
      <c r="A28" s="1509"/>
      <c r="B28" s="317"/>
      <c r="C28" s="1516"/>
    </row>
    <row r="29" spans="1:14" x14ac:dyDescent="0.2">
      <c r="A29" s="35" t="s">
        <v>194</v>
      </c>
      <c r="B29" s="25"/>
      <c r="C29" s="1517"/>
      <c r="D29" s="60"/>
    </row>
    <row r="30" spans="1:14" x14ac:dyDescent="0.2">
      <c r="A30" s="35" t="s">
        <v>413</v>
      </c>
      <c r="B30" s="25"/>
      <c r="C30" s="1517"/>
      <c r="D30" s="60"/>
    </row>
    <row r="31" spans="1:14" x14ac:dyDescent="0.2">
      <c r="A31" s="38" t="s">
        <v>332</v>
      </c>
      <c r="B31" s="25"/>
      <c r="C31" s="1518">
        <v>1</v>
      </c>
      <c r="D31" s="60"/>
      <c r="E31" s="59">
        <v>1</v>
      </c>
      <c r="I31" s="59">
        <v>1</v>
      </c>
    </row>
    <row r="32" spans="1:14" x14ac:dyDescent="0.2">
      <c r="A32" s="38" t="s">
        <v>256</v>
      </c>
      <c r="B32" s="25"/>
      <c r="C32" s="1519">
        <v>3.6999999999999998E-2</v>
      </c>
      <c r="D32" s="60"/>
      <c r="E32" s="1511">
        <f>E31/E39</f>
        <v>3.3333333333333333E-2</v>
      </c>
      <c r="G32" s="1511"/>
      <c r="I32" s="1511">
        <f>I31/I39</f>
        <v>3.4482758620689655E-2</v>
      </c>
      <c r="K32" s="1511"/>
      <c r="M32" s="1511"/>
    </row>
    <row r="33" spans="1:14" x14ac:dyDescent="0.2">
      <c r="A33" s="38" t="s">
        <v>257</v>
      </c>
      <c r="B33" s="25"/>
      <c r="C33" s="1518">
        <v>12</v>
      </c>
      <c r="D33" s="60"/>
      <c r="E33" s="59">
        <v>14</v>
      </c>
      <c r="I33" s="59">
        <v>14</v>
      </c>
    </row>
    <row r="34" spans="1:14" x14ac:dyDescent="0.2">
      <c r="A34" s="38" t="s">
        <v>258</v>
      </c>
      <c r="B34" s="25"/>
      <c r="C34" s="1519">
        <v>0.44400000000000001</v>
      </c>
      <c r="D34" s="60"/>
      <c r="E34" s="1511">
        <f>E33/E39</f>
        <v>0.46666666666666667</v>
      </c>
      <c r="G34" s="1511"/>
      <c r="I34" s="1511">
        <f>I33/I39</f>
        <v>0.48275862068965519</v>
      </c>
      <c r="K34" s="1511"/>
      <c r="M34" s="1511"/>
    </row>
    <row r="35" spans="1:14" x14ac:dyDescent="0.2">
      <c r="A35" s="38" t="s">
        <v>259</v>
      </c>
      <c r="B35" s="25"/>
      <c r="C35" s="1518">
        <v>13</v>
      </c>
      <c r="D35" s="60"/>
      <c r="E35" s="59">
        <v>15</v>
      </c>
      <c r="I35" s="59">
        <v>15</v>
      </c>
    </row>
    <row r="36" spans="1:14" x14ac:dyDescent="0.2">
      <c r="A36" s="38" t="s">
        <v>260</v>
      </c>
      <c r="B36" s="25"/>
      <c r="C36" s="1519">
        <v>0.48099999999999998</v>
      </c>
      <c r="D36" s="60"/>
      <c r="E36" s="1511">
        <f>E35/E39</f>
        <v>0.5</v>
      </c>
      <c r="G36" s="1511"/>
      <c r="I36" s="1511">
        <f>I35/I39</f>
        <v>0.51724137931034486</v>
      </c>
      <c r="K36" s="1511"/>
      <c r="M36" s="1511"/>
    </row>
    <row r="37" spans="1:14" x14ac:dyDescent="0.2">
      <c r="A37" s="35" t="s">
        <v>195</v>
      </c>
      <c r="B37" s="25"/>
      <c r="C37" s="1517"/>
      <c r="D37" s="60"/>
    </row>
    <row r="38" spans="1:14" x14ac:dyDescent="0.2">
      <c r="A38" s="38" t="s">
        <v>196</v>
      </c>
      <c r="B38" s="25"/>
      <c r="C38" s="1517"/>
      <c r="D38" s="60"/>
    </row>
    <row r="39" spans="1:14" x14ac:dyDescent="0.2">
      <c r="A39" s="41" t="s">
        <v>262</v>
      </c>
      <c r="B39" s="25"/>
      <c r="C39" s="1518">
        <v>27</v>
      </c>
      <c r="D39" s="60"/>
      <c r="E39" s="59">
        <v>30</v>
      </c>
      <c r="G39" s="59">
        <v>31</v>
      </c>
      <c r="I39" s="59">
        <v>29</v>
      </c>
      <c r="K39" s="59">
        <v>31</v>
      </c>
    </row>
    <row r="40" spans="1:14" x14ac:dyDescent="0.2">
      <c r="A40" s="41" t="s">
        <v>198</v>
      </c>
      <c r="B40" s="25"/>
      <c r="C40" s="1518">
        <v>27</v>
      </c>
      <c r="D40" s="60"/>
      <c r="E40" s="59">
        <v>30</v>
      </c>
      <c r="G40" s="59">
        <v>31</v>
      </c>
      <c r="I40" s="59">
        <v>29</v>
      </c>
      <c r="K40" s="59">
        <v>31</v>
      </c>
    </row>
    <row r="41" spans="1:14" x14ac:dyDescent="0.2">
      <c r="A41" s="282" t="s">
        <v>199</v>
      </c>
      <c r="B41" s="25"/>
      <c r="C41" s="1517"/>
      <c r="D41" s="60"/>
    </row>
    <row r="42" spans="1:14" x14ac:dyDescent="0.2">
      <c r="A42" s="41" t="s">
        <v>2821</v>
      </c>
      <c r="B42" s="25"/>
      <c r="C42" s="1518">
        <v>27</v>
      </c>
      <c r="D42" s="60"/>
      <c r="E42" s="59">
        <v>30</v>
      </c>
      <c r="G42" s="59">
        <v>31</v>
      </c>
      <c r="I42" s="59">
        <v>29</v>
      </c>
      <c r="K42" s="59">
        <v>31</v>
      </c>
    </row>
    <row r="43" spans="1:14" x14ac:dyDescent="0.2">
      <c r="A43" s="41" t="s">
        <v>198</v>
      </c>
      <c r="C43" s="1518">
        <v>27</v>
      </c>
      <c r="D43" s="60"/>
      <c r="E43" s="59">
        <v>30</v>
      </c>
      <c r="G43" s="59">
        <v>31</v>
      </c>
      <c r="I43" s="59">
        <v>29</v>
      </c>
      <c r="K43" s="59">
        <v>31</v>
      </c>
    </row>
    <row r="44" spans="1:14" x14ac:dyDescent="0.2">
      <c r="A44" s="29"/>
      <c r="C44" s="59"/>
      <c r="D44" s="60"/>
    </row>
    <row r="45" spans="1:14" x14ac:dyDescent="0.2">
      <c r="A45" s="1513" t="s">
        <v>200</v>
      </c>
      <c r="B45" s="25"/>
      <c r="E45" s="451"/>
      <c r="G45" s="451"/>
      <c r="I45" s="451"/>
      <c r="K45" s="451"/>
    </row>
    <row r="46" spans="1:14" ht="27.75" customHeight="1" x14ac:dyDescent="0.2">
      <c r="A46" s="1738" t="s">
        <v>524</v>
      </c>
      <c r="B46" s="1736"/>
      <c r="C46" s="1737"/>
      <c r="D46" s="1736"/>
      <c r="E46" s="1737"/>
      <c r="F46" s="1736"/>
      <c r="G46" s="1737"/>
      <c r="H46" s="1736"/>
      <c r="I46" s="1737"/>
      <c r="J46" s="1736"/>
      <c r="K46" s="1737"/>
      <c r="L46" s="1736"/>
      <c r="M46" s="1737"/>
      <c r="N46" s="1736"/>
    </row>
    <row r="47" spans="1:14" x14ac:dyDescent="0.2">
      <c r="A47" s="25" t="s">
        <v>2832</v>
      </c>
    </row>
    <row r="48" spans="1:14" x14ac:dyDescent="0.2">
      <c r="B48" s="25"/>
    </row>
  </sheetData>
  <mergeCells count="2">
    <mergeCell ref="A46:N46"/>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94" fitToHeight="99" pageOrder="overThenDown" orientation="portrait" blackAndWhite="1"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5"/>
  <dimension ref="A1:Q17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2.85546875" style="60"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1766</v>
      </c>
      <c r="C3" s="10" t="s">
        <v>2441</v>
      </c>
      <c r="D3" s="6"/>
      <c r="E3" s="11"/>
      <c r="F3" s="9"/>
      <c r="G3" s="11"/>
      <c r="H3" s="6"/>
      <c r="I3" s="11"/>
      <c r="J3" s="6"/>
      <c r="K3" s="1734"/>
      <c r="L3" s="6"/>
      <c r="M3" s="11"/>
      <c r="N3" s="6"/>
    </row>
    <row r="4" spans="1:16" s="4" customFormat="1" ht="15.75" x14ac:dyDescent="0.25">
      <c r="A4" s="1" t="s">
        <v>180</v>
      </c>
      <c r="B4" s="10" t="s">
        <v>1766</v>
      </c>
      <c r="C4" s="10" t="s">
        <v>40</v>
      </c>
      <c r="D4" s="6"/>
      <c r="E4" s="11"/>
      <c r="F4" s="9"/>
      <c r="G4" s="11"/>
      <c r="H4" s="6"/>
      <c r="I4" s="11"/>
      <c r="J4" s="6"/>
      <c r="K4" s="11"/>
      <c r="L4" s="6"/>
      <c r="M4" s="11"/>
      <c r="N4" s="6"/>
    </row>
    <row r="5" spans="1:16" s="4" customFormat="1" ht="15.75" x14ac:dyDescent="0.2">
      <c r="A5" s="1" t="s">
        <v>183</v>
      </c>
      <c r="B5" s="12" t="s">
        <v>211</v>
      </c>
      <c r="C5" s="12" t="s">
        <v>211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row>
    <row r="11" spans="1:16" s="37" customFormat="1" x14ac:dyDescent="0.2">
      <c r="A11" s="35" t="s">
        <v>2833</v>
      </c>
      <c r="B11" s="36"/>
    </row>
    <row r="12" spans="1:16" s="40" customFormat="1" x14ac:dyDescent="0.2">
      <c r="A12" s="41" t="s">
        <v>2834</v>
      </c>
      <c r="B12" s="39"/>
      <c r="C12" s="76">
        <v>460</v>
      </c>
      <c r="E12" s="76">
        <v>149</v>
      </c>
      <c r="G12" s="76">
        <v>124</v>
      </c>
      <c r="I12" s="76">
        <v>107</v>
      </c>
      <c r="K12" s="76">
        <v>105</v>
      </c>
      <c r="M12" s="76"/>
    </row>
    <row r="13" spans="1:16" s="40" customFormat="1" x14ac:dyDescent="0.2">
      <c r="A13" s="90" t="s">
        <v>2835</v>
      </c>
      <c r="B13" s="39"/>
      <c r="C13" s="76">
        <v>1403</v>
      </c>
      <c r="E13" s="76">
        <v>1309</v>
      </c>
      <c r="G13" s="76">
        <v>1424</v>
      </c>
      <c r="I13" s="76">
        <v>1364</v>
      </c>
      <c r="K13" s="76">
        <v>1364</v>
      </c>
      <c r="M13" s="76"/>
    </row>
    <row r="14" spans="1:16" s="40" customFormat="1" x14ac:dyDescent="0.2">
      <c r="A14" s="90" t="s">
        <v>2836</v>
      </c>
      <c r="B14" s="39"/>
      <c r="C14" s="1520">
        <v>1714</v>
      </c>
      <c r="E14" s="1520">
        <v>1351</v>
      </c>
      <c r="G14" s="1520">
        <v>1450</v>
      </c>
      <c r="I14" s="1520">
        <v>1366</v>
      </c>
      <c r="K14" s="1520">
        <v>1366</v>
      </c>
      <c r="M14" s="76"/>
    </row>
    <row r="15" spans="1:16" s="40" customFormat="1" x14ac:dyDescent="0.2">
      <c r="A15" s="90" t="s">
        <v>2837</v>
      </c>
      <c r="B15" s="39"/>
      <c r="C15" s="76">
        <v>149</v>
      </c>
      <c r="E15" s="76">
        <v>107</v>
      </c>
      <c r="G15" s="76">
        <v>98</v>
      </c>
      <c r="I15" s="76">
        <v>105</v>
      </c>
      <c r="K15" s="76">
        <v>103</v>
      </c>
      <c r="M15" s="76"/>
    </row>
    <row r="16" spans="1:16" s="40" customFormat="1" x14ac:dyDescent="0.2">
      <c r="A16" s="90" t="s">
        <v>2838</v>
      </c>
      <c r="B16" s="39"/>
      <c r="C16" s="1113">
        <v>1.3</v>
      </c>
      <c r="E16" s="1113">
        <v>1</v>
      </c>
      <c r="G16" s="1113">
        <v>0.8</v>
      </c>
      <c r="I16" s="1113">
        <v>0.9</v>
      </c>
      <c r="K16" s="1113">
        <v>0.9</v>
      </c>
      <c r="M16" s="1521"/>
    </row>
    <row r="17" spans="1:13" s="40" customFormat="1" x14ac:dyDescent="0.2">
      <c r="A17" s="41" t="s">
        <v>2839</v>
      </c>
      <c r="B17" s="39"/>
      <c r="C17" s="76">
        <v>704</v>
      </c>
      <c r="E17" s="76">
        <v>610</v>
      </c>
      <c r="G17" s="76">
        <v>600</v>
      </c>
      <c r="I17" s="76">
        <v>610</v>
      </c>
      <c r="K17" s="76">
        <v>610</v>
      </c>
      <c r="M17" s="76"/>
    </row>
    <row r="18" spans="1:13" s="40" customFormat="1" x14ac:dyDescent="0.2">
      <c r="A18" s="41" t="s">
        <v>1621</v>
      </c>
      <c r="B18" s="39"/>
      <c r="C18" s="76">
        <v>802</v>
      </c>
      <c r="E18" s="76">
        <v>707</v>
      </c>
      <c r="G18" s="76">
        <v>650</v>
      </c>
      <c r="I18" s="76">
        <v>707</v>
      </c>
      <c r="K18" s="76">
        <v>707</v>
      </c>
      <c r="M18" s="76"/>
    </row>
    <row r="19" spans="1:13" s="40" customFormat="1" x14ac:dyDescent="0.2">
      <c r="A19" s="90" t="s">
        <v>2840</v>
      </c>
      <c r="B19" s="39"/>
      <c r="C19" s="76">
        <v>208</v>
      </c>
      <c r="E19" s="112">
        <v>34</v>
      </c>
      <c r="F19" s="118"/>
      <c r="G19" s="112">
        <v>200</v>
      </c>
      <c r="H19" s="118"/>
      <c r="I19" s="112">
        <v>49</v>
      </c>
      <c r="J19" s="118"/>
      <c r="K19" s="112">
        <v>49</v>
      </c>
      <c r="M19" s="76"/>
    </row>
    <row r="20" spans="1:13" s="40" customFormat="1" x14ac:dyDescent="0.2">
      <c r="A20" s="90" t="s">
        <v>2841</v>
      </c>
      <c r="B20" s="39"/>
      <c r="C20" s="76">
        <v>356</v>
      </c>
      <c r="E20" s="76">
        <v>277</v>
      </c>
      <c r="G20" s="76">
        <v>356</v>
      </c>
      <c r="I20" s="76">
        <v>277</v>
      </c>
      <c r="K20" s="76">
        <v>277</v>
      </c>
      <c r="M20" s="76"/>
    </row>
    <row r="21" spans="1:13" s="40" customFormat="1" x14ac:dyDescent="0.2">
      <c r="A21" s="35" t="s">
        <v>2842</v>
      </c>
      <c r="B21" s="36"/>
      <c r="C21" s="63"/>
      <c r="E21" s="63"/>
      <c r="G21" s="63"/>
      <c r="I21" s="63"/>
      <c r="K21" s="63"/>
    </row>
    <row r="22" spans="1:13" s="40" customFormat="1" x14ac:dyDescent="0.2">
      <c r="A22" s="41" t="s">
        <v>2834</v>
      </c>
      <c r="B22" s="39"/>
      <c r="C22" s="76">
        <v>23039</v>
      </c>
      <c r="E22" s="76">
        <v>24360</v>
      </c>
      <c r="G22" s="76">
        <v>27162</v>
      </c>
      <c r="I22" s="76">
        <v>25653</v>
      </c>
      <c r="K22" s="76">
        <v>27013</v>
      </c>
      <c r="M22" s="76"/>
    </row>
    <row r="23" spans="1:13" s="40" customFormat="1" x14ac:dyDescent="0.2">
      <c r="A23" s="90" t="s">
        <v>2835</v>
      </c>
      <c r="B23" s="39"/>
      <c r="C23" s="76">
        <v>66068</v>
      </c>
      <c r="E23" s="76">
        <v>64661</v>
      </c>
      <c r="G23" s="76">
        <v>66744</v>
      </c>
      <c r="I23" s="76">
        <v>68024</v>
      </c>
      <c r="K23" s="76">
        <v>68024</v>
      </c>
      <c r="M23" s="333"/>
    </row>
    <row r="24" spans="1:13" s="40" customFormat="1" x14ac:dyDescent="0.2">
      <c r="A24" s="90" t="s">
        <v>2836</v>
      </c>
      <c r="B24" s="39"/>
      <c r="C24" s="76">
        <v>64747</v>
      </c>
      <c r="E24" s="76">
        <v>63368</v>
      </c>
      <c r="G24" s="76">
        <v>65409</v>
      </c>
      <c r="I24" s="76">
        <v>66664</v>
      </c>
      <c r="K24" s="76">
        <v>66664</v>
      </c>
      <c r="M24" s="1522"/>
    </row>
    <row r="25" spans="1:13" s="40" customFormat="1" x14ac:dyDescent="0.2">
      <c r="A25" s="90" t="s">
        <v>2837</v>
      </c>
      <c r="B25" s="39"/>
      <c r="C25" s="76">
        <v>24360</v>
      </c>
      <c r="E25" s="76">
        <v>25653</v>
      </c>
      <c r="G25" s="76">
        <v>28497</v>
      </c>
      <c r="I25" s="76">
        <v>27013</v>
      </c>
      <c r="K25" s="76">
        <v>28373</v>
      </c>
      <c r="M25" s="333"/>
    </row>
    <row r="26" spans="1:13" s="40" customFormat="1" x14ac:dyDescent="0.2">
      <c r="A26" s="90" t="s">
        <v>2838</v>
      </c>
      <c r="B26" s="39"/>
      <c r="C26" s="1113">
        <v>4.4000000000000004</v>
      </c>
      <c r="E26" s="1113">
        <v>4.8</v>
      </c>
      <c r="G26" s="1113">
        <v>5.0999999999999996</v>
      </c>
      <c r="I26" s="1113">
        <v>4.8</v>
      </c>
      <c r="K26" s="1113">
        <v>5</v>
      </c>
      <c r="M26" s="1523"/>
    </row>
    <row r="27" spans="1:13" s="40" customFormat="1" x14ac:dyDescent="0.2">
      <c r="A27" s="41" t="s">
        <v>2843</v>
      </c>
      <c r="B27" s="39"/>
      <c r="C27" s="63"/>
      <c r="E27" s="63"/>
      <c r="G27" s="63"/>
      <c r="I27" s="63"/>
      <c r="K27" s="63"/>
    </row>
    <row r="28" spans="1:13" s="40" customFormat="1" x14ac:dyDescent="0.2">
      <c r="A28" s="90" t="s">
        <v>2834</v>
      </c>
      <c r="B28" s="39"/>
      <c r="C28" s="76">
        <v>573</v>
      </c>
      <c r="E28" s="76">
        <v>641</v>
      </c>
      <c r="G28" s="76">
        <v>636</v>
      </c>
      <c r="I28" s="76">
        <v>628</v>
      </c>
      <c r="K28" s="76">
        <v>626</v>
      </c>
      <c r="M28" s="76"/>
    </row>
    <row r="29" spans="1:13" s="40" customFormat="1" x14ac:dyDescent="0.2">
      <c r="A29" s="90" t="s">
        <v>2835</v>
      </c>
      <c r="B29" s="39"/>
      <c r="C29" s="76">
        <v>546</v>
      </c>
      <c r="E29" s="76">
        <v>516</v>
      </c>
      <c r="G29" s="76">
        <v>546</v>
      </c>
      <c r="I29" s="76">
        <v>516</v>
      </c>
      <c r="K29" s="76">
        <v>516</v>
      </c>
      <c r="M29" s="76"/>
    </row>
    <row r="30" spans="1:13" s="40" customFormat="1" x14ac:dyDescent="0.2">
      <c r="A30" s="90" t="s">
        <v>2836</v>
      </c>
      <c r="B30" s="39"/>
      <c r="C30" s="76">
        <v>478</v>
      </c>
      <c r="E30" s="76">
        <v>529</v>
      </c>
      <c r="G30" s="76">
        <v>548</v>
      </c>
      <c r="I30" s="76">
        <v>518</v>
      </c>
      <c r="K30" s="76">
        <v>515</v>
      </c>
      <c r="M30" s="76"/>
    </row>
    <row r="31" spans="1:13" s="40" customFormat="1" x14ac:dyDescent="0.2">
      <c r="A31" s="90" t="s">
        <v>2837</v>
      </c>
      <c r="B31" s="39"/>
      <c r="C31" s="76">
        <v>641</v>
      </c>
      <c r="E31" s="76">
        <v>628</v>
      </c>
      <c r="G31" s="76">
        <v>634</v>
      </c>
      <c r="I31" s="76">
        <v>626</v>
      </c>
      <c r="K31" s="76">
        <v>627</v>
      </c>
      <c r="M31" s="76"/>
    </row>
    <row r="32" spans="1:13" s="40" customFormat="1" x14ac:dyDescent="0.2">
      <c r="A32" s="41" t="s">
        <v>2844</v>
      </c>
      <c r="B32" s="39"/>
      <c r="C32" s="63"/>
      <c r="E32" s="63"/>
      <c r="G32" s="63"/>
      <c r="I32" s="63"/>
      <c r="K32" s="63"/>
    </row>
    <row r="33" spans="1:13" s="40" customFormat="1" x14ac:dyDescent="0.2">
      <c r="A33" s="90" t="s">
        <v>2834</v>
      </c>
      <c r="B33" s="39"/>
      <c r="C33" s="76">
        <v>434</v>
      </c>
      <c r="E33" s="76">
        <v>496</v>
      </c>
      <c r="G33" s="76">
        <v>492</v>
      </c>
      <c r="I33" s="76">
        <v>327</v>
      </c>
      <c r="K33" s="76">
        <v>318</v>
      </c>
      <c r="M33" s="76"/>
    </row>
    <row r="34" spans="1:13" s="40" customFormat="1" ht="14.25" customHeight="1" x14ac:dyDescent="0.2">
      <c r="A34" s="90" t="s">
        <v>2835</v>
      </c>
      <c r="B34" s="39"/>
      <c r="C34" s="76">
        <v>1535</v>
      </c>
      <c r="E34" s="76">
        <v>1489</v>
      </c>
      <c r="G34" s="76">
        <v>1535</v>
      </c>
      <c r="I34" s="76">
        <v>1489</v>
      </c>
      <c r="K34" s="76">
        <v>1489</v>
      </c>
      <c r="M34" s="76"/>
    </row>
    <row r="35" spans="1:13" s="40" customFormat="1" x14ac:dyDescent="0.2">
      <c r="A35" s="90" t="s">
        <v>2836</v>
      </c>
      <c r="B35" s="39"/>
      <c r="C35" s="76">
        <v>1473</v>
      </c>
      <c r="E35" s="76">
        <v>1658</v>
      </c>
      <c r="G35" s="76">
        <v>1533</v>
      </c>
      <c r="I35" s="76">
        <v>1498</v>
      </c>
      <c r="K35" s="76">
        <v>1489</v>
      </c>
      <c r="M35" s="76"/>
    </row>
    <row r="36" spans="1:13" s="40" customFormat="1" x14ac:dyDescent="0.2">
      <c r="A36" s="90" t="s">
        <v>2837</v>
      </c>
      <c r="B36" s="39"/>
      <c r="C36" s="76">
        <v>496</v>
      </c>
      <c r="E36" s="76">
        <v>327</v>
      </c>
      <c r="G36" s="76">
        <v>494</v>
      </c>
      <c r="I36" s="76">
        <v>318</v>
      </c>
      <c r="K36" s="76">
        <v>318</v>
      </c>
      <c r="M36" s="76"/>
    </row>
    <row r="37" spans="1:13" s="40" customFormat="1" x14ac:dyDescent="0.2">
      <c r="A37" s="35" t="s">
        <v>2845</v>
      </c>
      <c r="B37" s="36"/>
      <c r="C37" s="63"/>
      <c r="E37" s="63"/>
      <c r="G37" s="63"/>
      <c r="I37" s="63"/>
      <c r="K37" s="63"/>
    </row>
    <row r="38" spans="1:13" s="40" customFormat="1" x14ac:dyDescent="0.2">
      <c r="A38" s="41" t="s">
        <v>2846</v>
      </c>
      <c r="B38" s="39"/>
      <c r="C38" s="63"/>
      <c r="E38" s="63"/>
      <c r="G38" s="63"/>
      <c r="I38" s="63"/>
      <c r="K38" s="63"/>
    </row>
    <row r="39" spans="1:13" s="40" customFormat="1" x14ac:dyDescent="0.2">
      <c r="A39" s="90" t="s">
        <v>2834</v>
      </c>
      <c r="B39" s="39"/>
      <c r="C39" s="76">
        <v>9544</v>
      </c>
      <c r="E39" s="76">
        <v>8988</v>
      </c>
      <c r="G39" s="76">
        <v>8977</v>
      </c>
      <c r="I39" s="76">
        <v>8322</v>
      </c>
      <c r="K39" s="76">
        <v>8303</v>
      </c>
      <c r="M39" s="76"/>
    </row>
    <row r="40" spans="1:13" s="40" customFormat="1" x14ac:dyDescent="0.2">
      <c r="A40" s="90" t="s">
        <v>2835</v>
      </c>
      <c r="B40" s="39"/>
      <c r="C40" s="76">
        <v>8382</v>
      </c>
      <c r="E40" s="76">
        <v>7302</v>
      </c>
      <c r="G40" s="76">
        <v>8286</v>
      </c>
      <c r="I40" s="76">
        <v>7302</v>
      </c>
      <c r="K40" s="76">
        <v>7302</v>
      </c>
      <c r="M40" s="76"/>
    </row>
    <row r="41" spans="1:13" s="40" customFormat="1" x14ac:dyDescent="0.2">
      <c r="A41" s="90" t="s">
        <v>2836</v>
      </c>
      <c r="B41" s="39"/>
      <c r="C41" s="76">
        <v>8938</v>
      </c>
      <c r="E41" s="76">
        <v>7968</v>
      </c>
      <c r="G41" s="76">
        <v>8281</v>
      </c>
      <c r="I41" s="76">
        <v>7321</v>
      </c>
      <c r="K41" s="76">
        <v>7297</v>
      </c>
      <c r="M41" s="76"/>
    </row>
    <row r="42" spans="1:13" s="40" customFormat="1" x14ac:dyDescent="0.2">
      <c r="A42" s="90" t="s">
        <v>2837</v>
      </c>
      <c r="B42" s="39"/>
      <c r="C42" s="76">
        <v>8988</v>
      </c>
      <c r="E42" s="76">
        <v>8322</v>
      </c>
      <c r="G42" s="76">
        <v>8982</v>
      </c>
      <c r="I42" s="76">
        <v>8303</v>
      </c>
      <c r="K42" s="76">
        <v>8308</v>
      </c>
      <c r="M42" s="1522"/>
    </row>
    <row r="43" spans="1:13" s="40" customFormat="1" x14ac:dyDescent="0.2">
      <c r="A43" s="90" t="s">
        <v>2847</v>
      </c>
      <c r="B43" s="39"/>
      <c r="C43" s="76">
        <v>137</v>
      </c>
      <c r="E43" s="76">
        <v>118</v>
      </c>
      <c r="G43" s="76">
        <v>137</v>
      </c>
      <c r="I43" s="76">
        <v>118</v>
      </c>
      <c r="K43" s="76">
        <v>118</v>
      </c>
      <c r="M43" s="76"/>
    </row>
    <row r="44" spans="1:13" s="40" customFormat="1" x14ac:dyDescent="0.2">
      <c r="A44" s="41" t="s">
        <v>2848</v>
      </c>
      <c r="B44" s="39"/>
      <c r="C44" s="63"/>
      <c r="E44" s="63"/>
      <c r="G44" s="63"/>
      <c r="I44" s="63"/>
      <c r="K44" s="63"/>
    </row>
    <row r="45" spans="1:13" s="40" customFormat="1" x14ac:dyDescent="0.2">
      <c r="A45" s="90" t="s">
        <v>2834</v>
      </c>
      <c r="B45" s="39"/>
      <c r="C45" s="76">
        <v>898</v>
      </c>
      <c r="E45" s="76">
        <v>1019</v>
      </c>
      <c r="G45" s="76">
        <v>1013</v>
      </c>
      <c r="I45" s="76">
        <v>844</v>
      </c>
      <c r="K45" s="76">
        <v>833</v>
      </c>
      <c r="M45" s="76"/>
    </row>
    <row r="46" spans="1:13" s="40" customFormat="1" x14ac:dyDescent="0.2">
      <c r="A46" s="90" t="s">
        <v>2835</v>
      </c>
      <c r="B46" s="39"/>
      <c r="C46" s="76">
        <v>1649</v>
      </c>
      <c r="E46" s="76">
        <v>1481</v>
      </c>
      <c r="G46" s="76">
        <v>1644</v>
      </c>
      <c r="I46" s="76">
        <v>1481</v>
      </c>
      <c r="K46" s="76">
        <v>1481</v>
      </c>
      <c r="M46" s="76"/>
    </row>
    <row r="47" spans="1:13" s="40" customFormat="1" x14ac:dyDescent="0.2">
      <c r="A47" s="90" t="s">
        <v>2836</v>
      </c>
      <c r="B47" s="39"/>
      <c r="C47" s="76">
        <v>1528</v>
      </c>
      <c r="E47" s="76">
        <v>1656</v>
      </c>
      <c r="G47" s="76">
        <v>1638</v>
      </c>
      <c r="I47" s="76">
        <v>1492</v>
      </c>
      <c r="K47" s="76">
        <v>1480</v>
      </c>
      <c r="M47" s="76"/>
    </row>
    <row r="48" spans="1:13" s="40" customFormat="1" x14ac:dyDescent="0.2">
      <c r="A48" s="1524" t="s">
        <v>2849</v>
      </c>
      <c r="B48" s="39"/>
      <c r="C48" s="76">
        <v>1019</v>
      </c>
      <c r="E48" s="76">
        <v>844</v>
      </c>
      <c r="G48" s="76">
        <v>1019</v>
      </c>
      <c r="I48" s="76">
        <v>833</v>
      </c>
      <c r="K48" s="76">
        <v>834</v>
      </c>
      <c r="M48" s="1525"/>
    </row>
    <row r="49" spans="1:13" s="40" customFormat="1" x14ac:dyDescent="0.2">
      <c r="A49" s="41" t="s">
        <v>2850</v>
      </c>
      <c r="B49" s="39"/>
      <c r="C49" s="63"/>
      <c r="E49" s="63"/>
      <c r="G49" s="63"/>
      <c r="I49" s="63"/>
      <c r="K49" s="63"/>
      <c r="M49" s="1525"/>
    </row>
    <row r="50" spans="1:13" s="40" customFormat="1" x14ac:dyDescent="0.2">
      <c r="A50" s="90" t="s">
        <v>2834</v>
      </c>
      <c r="B50" s="39"/>
      <c r="C50" s="76">
        <v>384</v>
      </c>
      <c r="E50" s="76">
        <v>376</v>
      </c>
      <c r="G50" s="76">
        <v>374</v>
      </c>
      <c r="I50" s="76">
        <v>303</v>
      </c>
      <c r="K50" s="76">
        <v>302</v>
      </c>
      <c r="M50" s="1525"/>
    </row>
    <row r="51" spans="1:13" s="40" customFormat="1" x14ac:dyDescent="0.2">
      <c r="A51" s="90" t="s">
        <v>2835</v>
      </c>
      <c r="B51" s="39"/>
      <c r="C51" s="76">
        <v>348</v>
      </c>
      <c r="E51" s="76">
        <v>244</v>
      </c>
      <c r="G51" s="76">
        <v>348</v>
      </c>
      <c r="I51" s="76">
        <v>244</v>
      </c>
      <c r="K51" s="76">
        <v>244</v>
      </c>
      <c r="M51" s="1525"/>
    </row>
    <row r="52" spans="1:13" s="40" customFormat="1" x14ac:dyDescent="0.2">
      <c r="A52" s="90" t="s">
        <v>2836</v>
      </c>
      <c r="B52" s="39"/>
      <c r="C52" s="76">
        <v>356</v>
      </c>
      <c r="E52" s="76">
        <v>317</v>
      </c>
      <c r="G52" s="76">
        <v>349</v>
      </c>
      <c r="I52" s="76">
        <v>245</v>
      </c>
      <c r="K52" s="76">
        <v>244</v>
      </c>
      <c r="M52" s="1525"/>
    </row>
    <row r="53" spans="1:13" s="40" customFormat="1" x14ac:dyDescent="0.2">
      <c r="A53" s="1524" t="s">
        <v>2851</v>
      </c>
      <c r="B53" s="39"/>
      <c r="C53" s="76">
        <v>376</v>
      </c>
      <c r="E53" s="76">
        <v>303</v>
      </c>
      <c r="G53" s="76">
        <v>373</v>
      </c>
      <c r="I53" s="76">
        <v>302</v>
      </c>
      <c r="K53" s="76">
        <v>302</v>
      </c>
      <c r="M53" s="1525"/>
    </row>
    <row r="54" spans="1:13" s="40" customFormat="1" x14ac:dyDescent="0.2">
      <c r="A54" s="35" t="s">
        <v>2852</v>
      </c>
      <c r="B54" s="36"/>
      <c r="C54" s="63"/>
      <c r="E54" s="63"/>
      <c r="G54" s="63"/>
      <c r="I54" s="63"/>
      <c r="K54" s="63"/>
    </row>
    <row r="55" spans="1:13" s="118" customFormat="1" x14ac:dyDescent="0.2">
      <c r="A55" s="124" t="s">
        <v>2846</v>
      </c>
      <c r="B55" s="117"/>
      <c r="C55" s="111"/>
      <c r="E55" s="111"/>
      <c r="G55" s="111"/>
      <c r="I55" s="111"/>
      <c r="K55" s="111"/>
    </row>
    <row r="56" spans="1:13" s="118" customFormat="1" x14ac:dyDescent="0.2">
      <c r="A56" s="94" t="s">
        <v>2834</v>
      </c>
      <c r="B56" s="117"/>
      <c r="C56" s="112">
        <v>8408</v>
      </c>
      <c r="E56" s="112">
        <v>7389</v>
      </c>
      <c r="G56" s="112">
        <v>7389</v>
      </c>
      <c r="I56" s="112">
        <v>6684</v>
      </c>
      <c r="K56" s="112">
        <v>6658</v>
      </c>
      <c r="M56" s="112"/>
    </row>
    <row r="57" spans="1:13" s="118" customFormat="1" x14ac:dyDescent="0.2">
      <c r="A57" s="94" t="s">
        <v>2835</v>
      </c>
      <c r="B57" s="117"/>
      <c r="C57" s="112">
        <v>6828</v>
      </c>
      <c r="E57" s="112">
        <v>5855</v>
      </c>
      <c r="G57" s="112">
        <v>6821</v>
      </c>
      <c r="I57" s="112">
        <v>5855</v>
      </c>
      <c r="K57" s="112">
        <v>5855</v>
      </c>
      <c r="M57" s="112"/>
    </row>
    <row r="58" spans="1:13" s="118" customFormat="1" x14ac:dyDescent="0.2">
      <c r="A58" s="94" t="s">
        <v>2836</v>
      </c>
      <c r="B58" s="117"/>
      <c r="C58" s="112">
        <v>7847</v>
      </c>
      <c r="E58" s="112">
        <v>6560</v>
      </c>
      <c r="G58" s="112">
        <v>6852</v>
      </c>
      <c r="I58" s="112">
        <v>5881</v>
      </c>
      <c r="K58" s="112">
        <v>5855</v>
      </c>
      <c r="M58" s="112"/>
    </row>
    <row r="59" spans="1:13" s="118" customFormat="1" x14ac:dyDescent="0.2">
      <c r="A59" s="94" t="s">
        <v>2837</v>
      </c>
      <c r="B59" s="117"/>
      <c r="C59" s="112">
        <v>7389</v>
      </c>
      <c r="E59" s="112">
        <v>6684</v>
      </c>
      <c r="G59" s="112">
        <v>7358</v>
      </c>
      <c r="I59" s="112">
        <v>6658</v>
      </c>
      <c r="K59" s="112">
        <v>6658</v>
      </c>
      <c r="M59" s="1526"/>
    </row>
    <row r="60" spans="1:13" s="118" customFormat="1" x14ac:dyDescent="0.2">
      <c r="A60" s="124" t="s">
        <v>2848</v>
      </c>
      <c r="B60" s="117"/>
      <c r="C60" s="111"/>
      <c r="E60" s="111"/>
      <c r="G60" s="111"/>
      <c r="I60" s="111"/>
      <c r="K60" s="111"/>
      <c r="M60" s="111"/>
    </row>
    <row r="61" spans="1:13" s="118" customFormat="1" x14ac:dyDescent="0.2">
      <c r="A61" s="94" t="s">
        <v>2834</v>
      </c>
      <c r="B61" s="117"/>
      <c r="C61" s="112">
        <v>743</v>
      </c>
      <c r="E61" s="112">
        <v>824</v>
      </c>
      <c r="G61" s="112">
        <v>739</v>
      </c>
      <c r="I61" s="112">
        <v>682</v>
      </c>
      <c r="K61" s="112">
        <v>685</v>
      </c>
      <c r="M61" s="112"/>
    </row>
    <row r="62" spans="1:13" s="118" customFormat="1" x14ac:dyDescent="0.2">
      <c r="A62" s="94" t="s">
        <v>2835</v>
      </c>
      <c r="B62" s="117"/>
      <c r="C62" s="112">
        <v>1334</v>
      </c>
      <c r="E62" s="112">
        <v>1204</v>
      </c>
      <c r="G62" s="112">
        <v>1335</v>
      </c>
      <c r="I62" s="112">
        <v>1204</v>
      </c>
      <c r="K62" s="112">
        <v>1204</v>
      </c>
      <c r="M62" s="112"/>
    </row>
    <row r="63" spans="1:13" s="118" customFormat="1" x14ac:dyDescent="0.2">
      <c r="A63" s="94" t="s">
        <v>2836</v>
      </c>
      <c r="B63" s="117"/>
      <c r="C63" s="112">
        <v>1253</v>
      </c>
      <c r="E63" s="112">
        <v>1346</v>
      </c>
      <c r="G63" s="112">
        <v>1335</v>
      </c>
      <c r="I63" s="112">
        <v>1201</v>
      </c>
      <c r="K63" s="112">
        <v>1205</v>
      </c>
      <c r="M63" s="112"/>
    </row>
    <row r="64" spans="1:13" s="118" customFormat="1" x14ac:dyDescent="0.2">
      <c r="A64" s="94" t="s">
        <v>2837</v>
      </c>
      <c r="B64" s="117"/>
      <c r="C64" s="112">
        <v>824</v>
      </c>
      <c r="E64" s="112">
        <v>682</v>
      </c>
      <c r="G64" s="112">
        <v>739</v>
      </c>
      <c r="I64" s="112">
        <v>685</v>
      </c>
      <c r="K64" s="112">
        <v>684</v>
      </c>
      <c r="M64" s="1526"/>
    </row>
    <row r="65" spans="1:13" s="118" customFormat="1" x14ac:dyDescent="0.2">
      <c r="A65" s="41" t="s">
        <v>2853</v>
      </c>
      <c r="B65" s="39"/>
      <c r="C65" s="111"/>
      <c r="E65" s="111"/>
      <c r="G65" s="111"/>
      <c r="I65" s="111"/>
      <c r="K65" s="111"/>
      <c r="M65" s="1526"/>
    </row>
    <row r="66" spans="1:13" s="118" customFormat="1" x14ac:dyDescent="0.2">
      <c r="A66" s="90" t="s">
        <v>2834</v>
      </c>
      <c r="B66" s="39"/>
      <c r="C66" s="112">
        <v>447</v>
      </c>
      <c r="E66" s="112">
        <v>431</v>
      </c>
      <c r="G66" s="112">
        <v>427</v>
      </c>
      <c r="I66" s="112">
        <v>353</v>
      </c>
      <c r="K66" s="112">
        <v>351</v>
      </c>
      <c r="M66" s="1526"/>
    </row>
    <row r="67" spans="1:13" s="118" customFormat="1" x14ac:dyDescent="0.2">
      <c r="A67" s="90" t="s">
        <v>2835</v>
      </c>
      <c r="B67" s="39"/>
      <c r="C67" s="112">
        <v>307</v>
      </c>
      <c r="E67" s="112">
        <v>233</v>
      </c>
      <c r="G67" s="112">
        <v>307</v>
      </c>
      <c r="I67" s="112">
        <v>233</v>
      </c>
      <c r="K67" s="112">
        <v>233</v>
      </c>
      <c r="M67" s="1526"/>
    </row>
    <row r="68" spans="1:13" s="118" customFormat="1" x14ac:dyDescent="0.2">
      <c r="A68" s="90" t="s">
        <v>2836</v>
      </c>
      <c r="B68" s="39"/>
      <c r="C68" s="112">
        <v>323</v>
      </c>
      <c r="E68" s="112">
        <v>311</v>
      </c>
      <c r="G68" s="112">
        <v>307</v>
      </c>
      <c r="I68" s="112">
        <v>235</v>
      </c>
      <c r="K68" s="112">
        <v>233</v>
      </c>
      <c r="M68" s="1526"/>
    </row>
    <row r="69" spans="1:13" s="118" customFormat="1" x14ac:dyDescent="0.2">
      <c r="A69" s="1524" t="s">
        <v>2851</v>
      </c>
      <c r="B69" s="39"/>
      <c r="C69" s="112">
        <v>431</v>
      </c>
      <c r="E69" s="112">
        <v>353</v>
      </c>
      <c r="G69" s="112">
        <v>427</v>
      </c>
      <c r="I69" s="112">
        <v>351</v>
      </c>
      <c r="K69" s="112">
        <v>351</v>
      </c>
      <c r="M69" s="1526"/>
    </row>
    <row r="70" spans="1:13" s="118" customFormat="1" x14ac:dyDescent="0.2">
      <c r="A70" s="35" t="s">
        <v>2854</v>
      </c>
      <c r="B70" s="36"/>
      <c r="C70" s="111"/>
      <c r="E70" s="111"/>
      <c r="G70" s="111"/>
      <c r="I70" s="111"/>
      <c r="K70" s="111"/>
      <c r="M70" s="1526"/>
    </row>
    <row r="71" spans="1:13" s="118" customFormat="1" x14ac:dyDescent="0.2">
      <c r="A71" s="124" t="s">
        <v>2855</v>
      </c>
      <c r="B71" s="117"/>
      <c r="C71" s="111"/>
      <c r="E71" s="111"/>
      <c r="G71" s="111"/>
      <c r="I71" s="111"/>
      <c r="K71" s="111"/>
      <c r="M71" s="1526"/>
    </row>
    <row r="72" spans="1:13" s="118" customFormat="1" x14ac:dyDescent="0.2">
      <c r="A72" s="94" t="s">
        <v>2856</v>
      </c>
      <c r="B72" s="117"/>
      <c r="C72" s="111"/>
      <c r="E72" s="111"/>
      <c r="G72" s="111"/>
      <c r="I72" s="111"/>
      <c r="K72" s="111"/>
      <c r="M72" s="1526"/>
    </row>
    <row r="73" spans="1:13" s="118" customFormat="1" x14ac:dyDescent="0.2">
      <c r="A73" s="626" t="s">
        <v>2835</v>
      </c>
      <c r="B73" s="117"/>
      <c r="C73" s="112">
        <v>30379</v>
      </c>
      <c r="E73" s="112">
        <v>31235</v>
      </c>
      <c r="G73" s="112">
        <v>30379</v>
      </c>
      <c r="I73" s="112">
        <v>31235</v>
      </c>
      <c r="K73" s="112">
        <v>31235</v>
      </c>
      <c r="M73" s="1526"/>
    </row>
    <row r="74" spans="1:13" s="118" customFormat="1" x14ac:dyDescent="0.2">
      <c r="A74" s="626" t="s">
        <v>2836</v>
      </c>
      <c r="B74" s="117"/>
      <c r="C74" s="112">
        <v>29808</v>
      </c>
      <c r="E74" s="112">
        <v>29161</v>
      </c>
      <c r="G74" s="112">
        <v>29808</v>
      </c>
      <c r="I74" s="112">
        <v>29161</v>
      </c>
      <c r="K74" s="112">
        <v>29161</v>
      </c>
      <c r="M74" s="1526"/>
    </row>
    <row r="75" spans="1:13" s="118" customFormat="1" x14ac:dyDescent="0.2">
      <c r="A75" s="626" t="s">
        <v>2857</v>
      </c>
      <c r="B75" s="117"/>
      <c r="C75" s="112">
        <v>1321</v>
      </c>
      <c r="E75" s="112">
        <v>1249</v>
      </c>
      <c r="G75" s="112">
        <v>1215</v>
      </c>
      <c r="I75" s="112">
        <v>1157</v>
      </c>
      <c r="K75" s="112">
        <v>1157</v>
      </c>
      <c r="M75" s="1526"/>
    </row>
    <row r="76" spans="1:13" s="118" customFormat="1" x14ac:dyDescent="0.2">
      <c r="A76" s="94" t="s">
        <v>2858</v>
      </c>
      <c r="B76" s="117"/>
      <c r="C76" s="111"/>
      <c r="E76" s="111"/>
      <c r="G76" s="111"/>
      <c r="I76" s="111"/>
      <c r="K76" s="111"/>
      <c r="M76" s="1526"/>
    </row>
    <row r="77" spans="1:13" s="118" customFormat="1" x14ac:dyDescent="0.2">
      <c r="A77" s="626" t="s">
        <v>2859</v>
      </c>
      <c r="B77" s="117"/>
      <c r="C77" s="112">
        <v>544</v>
      </c>
      <c r="E77" s="112">
        <v>550</v>
      </c>
      <c r="G77" s="112">
        <v>545</v>
      </c>
      <c r="I77" s="112">
        <v>553</v>
      </c>
      <c r="K77" s="112">
        <v>553</v>
      </c>
      <c r="M77" s="1526"/>
    </row>
    <row r="78" spans="1:13" s="118" customFormat="1" x14ac:dyDescent="0.2">
      <c r="A78" s="35" t="s">
        <v>2860</v>
      </c>
      <c r="B78" s="117"/>
      <c r="C78" s="111"/>
      <c r="E78" s="111"/>
      <c r="G78" s="111"/>
      <c r="I78" s="111"/>
      <c r="K78" s="111"/>
      <c r="M78" s="1526"/>
    </row>
    <row r="79" spans="1:13" s="118" customFormat="1" x14ac:dyDescent="0.2">
      <c r="A79" s="124" t="s">
        <v>2861</v>
      </c>
      <c r="B79" s="39"/>
      <c r="C79" s="112">
        <v>1108</v>
      </c>
      <c r="E79" s="112">
        <v>971</v>
      </c>
      <c r="G79" s="112">
        <v>1068</v>
      </c>
      <c r="I79" s="112">
        <v>0</v>
      </c>
      <c r="K79" s="112">
        <v>0</v>
      </c>
      <c r="M79" s="1526"/>
    </row>
    <row r="80" spans="1:13" s="118" customFormat="1" x14ac:dyDescent="0.2">
      <c r="A80" s="124" t="s">
        <v>2862</v>
      </c>
      <c r="B80" s="117"/>
      <c r="C80" s="112">
        <v>71</v>
      </c>
      <c r="E80" s="112">
        <v>52</v>
      </c>
      <c r="G80" s="112">
        <v>48</v>
      </c>
      <c r="I80" s="112">
        <v>0</v>
      </c>
      <c r="K80" s="112">
        <v>0</v>
      </c>
      <c r="M80" s="1526"/>
    </row>
    <row r="81" spans="1:13" s="118" customFormat="1" x14ac:dyDescent="0.2">
      <c r="A81" s="124" t="s">
        <v>2863</v>
      </c>
      <c r="B81" s="39"/>
      <c r="C81" s="112">
        <v>92</v>
      </c>
      <c r="E81" s="112">
        <v>85</v>
      </c>
      <c r="G81" s="112">
        <v>120</v>
      </c>
      <c r="I81" s="112">
        <v>92</v>
      </c>
      <c r="K81" s="112">
        <v>0</v>
      </c>
      <c r="M81" s="1526"/>
    </row>
    <row r="82" spans="1:13" s="118" customFormat="1" x14ac:dyDescent="0.2">
      <c r="A82" s="124" t="s">
        <v>2864</v>
      </c>
      <c r="B82" s="39"/>
      <c r="C82" s="112">
        <v>79</v>
      </c>
      <c r="E82" s="112">
        <v>59</v>
      </c>
      <c r="G82" s="112">
        <v>100</v>
      </c>
      <c r="I82" s="112">
        <v>52</v>
      </c>
      <c r="K82" s="112">
        <v>0</v>
      </c>
      <c r="M82" s="1526"/>
    </row>
    <row r="83" spans="1:13" s="118" customFormat="1" x14ac:dyDescent="0.2">
      <c r="B83" s="39"/>
      <c r="M83" s="1526"/>
    </row>
    <row r="84" spans="1:13" s="40" customFormat="1" x14ac:dyDescent="0.2">
      <c r="A84" s="35" t="s">
        <v>194</v>
      </c>
      <c r="B84" s="36"/>
    </row>
    <row r="85" spans="1:13" s="40" customFormat="1" x14ac:dyDescent="0.2">
      <c r="A85" s="38" t="s">
        <v>254</v>
      </c>
      <c r="B85" s="39"/>
    </row>
    <row r="86" spans="1:13" s="40" customFormat="1" x14ac:dyDescent="0.2">
      <c r="A86" s="41" t="s">
        <v>332</v>
      </c>
      <c r="B86" s="39"/>
      <c r="C86" s="1527">
        <v>136</v>
      </c>
      <c r="E86" s="76">
        <v>157</v>
      </c>
      <c r="G86" s="77"/>
      <c r="I86" s="76">
        <v>161</v>
      </c>
      <c r="K86" s="77"/>
      <c r="M86" s="76"/>
    </row>
    <row r="87" spans="1:13" s="40" customFormat="1" x14ac:dyDescent="0.2">
      <c r="A87" s="41" t="s">
        <v>256</v>
      </c>
      <c r="B87" s="39"/>
      <c r="C87" s="1528">
        <v>0.114</v>
      </c>
      <c r="E87" s="100">
        <f>E86/E97</f>
        <v>0.13007456503728251</v>
      </c>
      <c r="G87" s="101"/>
      <c r="I87" s="100">
        <f>I86/I97</f>
        <v>0.13251028806584361</v>
      </c>
      <c r="K87" s="101"/>
      <c r="M87" s="100"/>
    </row>
    <row r="88" spans="1:13" s="37" customFormat="1" x14ac:dyDescent="0.2">
      <c r="A88" s="41" t="s">
        <v>257</v>
      </c>
      <c r="B88" s="39"/>
      <c r="C88" s="1527">
        <v>453</v>
      </c>
      <c r="E88" s="76">
        <v>470</v>
      </c>
      <c r="G88" s="89"/>
      <c r="I88" s="76">
        <v>482</v>
      </c>
      <c r="K88" s="89"/>
      <c r="M88" s="76"/>
    </row>
    <row r="89" spans="1:13" s="40" customFormat="1" x14ac:dyDescent="0.2">
      <c r="A89" s="41" t="s">
        <v>258</v>
      </c>
      <c r="B89" s="39"/>
      <c r="C89" s="1528">
        <v>0.38100000000000001</v>
      </c>
      <c r="E89" s="100">
        <f>E88/E97</f>
        <v>0.38939519469759737</v>
      </c>
      <c r="G89" s="101"/>
      <c r="I89" s="100">
        <f>I88/I97</f>
        <v>0.39670781893004115</v>
      </c>
      <c r="K89" s="101"/>
      <c r="M89" s="100"/>
    </row>
    <row r="90" spans="1:13" s="40" customFormat="1" x14ac:dyDescent="0.2">
      <c r="A90" s="41" t="s">
        <v>259</v>
      </c>
      <c r="B90" s="39"/>
      <c r="C90" s="1527">
        <v>589</v>
      </c>
      <c r="E90" s="76">
        <f>E86+E88</f>
        <v>627</v>
      </c>
      <c r="G90" s="77"/>
      <c r="I90" s="76">
        <f>I86+I88</f>
        <v>643</v>
      </c>
      <c r="K90" s="77"/>
      <c r="M90" s="76"/>
    </row>
    <row r="91" spans="1:13" s="40" customFormat="1" x14ac:dyDescent="0.2">
      <c r="A91" s="41" t="s">
        <v>260</v>
      </c>
      <c r="B91" s="39"/>
      <c r="C91" s="1528">
        <v>0.495</v>
      </c>
      <c r="E91" s="100">
        <f>E90/E97</f>
        <v>0.51946975973487985</v>
      </c>
      <c r="G91" s="101"/>
      <c r="I91" s="100">
        <v>0.53</v>
      </c>
      <c r="K91" s="101"/>
      <c r="M91" s="100"/>
    </row>
    <row r="92" spans="1:13" s="40" customFormat="1" x14ac:dyDescent="0.2">
      <c r="A92" s="35" t="s">
        <v>211</v>
      </c>
      <c r="B92" s="36"/>
    </row>
    <row r="93" spans="1:13" s="40" customFormat="1" x14ac:dyDescent="0.2">
      <c r="A93" s="35" t="s">
        <v>195</v>
      </c>
      <c r="B93" s="36"/>
    </row>
    <row r="94" spans="1:13" s="40" customFormat="1" x14ac:dyDescent="0.2">
      <c r="A94" s="38" t="s">
        <v>196</v>
      </c>
      <c r="B94" s="39"/>
    </row>
    <row r="95" spans="1:13" s="40" customFormat="1" x14ac:dyDescent="0.2">
      <c r="A95" s="41" t="s">
        <v>197</v>
      </c>
      <c r="B95" s="39"/>
      <c r="C95" s="76">
        <v>1187</v>
      </c>
      <c r="E95" s="76">
        <v>1206</v>
      </c>
      <c r="G95" s="76">
        <v>1268</v>
      </c>
      <c r="I95" s="76">
        <v>1214</v>
      </c>
      <c r="K95" s="76">
        <v>1268</v>
      </c>
      <c r="M95" s="76"/>
    </row>
    <row r="96" spans="1:13" s="40" customFormat="1" x14ac:dyDescent="0.2">
      <c r="A96" s="41" t="s">
        <v>333</v>
      </c>
      <c r="B96" s="39"/>
      <c r="C96" s="71">
        <v>1</v>
      </c>
      <c r="E96" s="71">
        <v>1</v>
      </c>
      <c r="G96" s="71">
        <v>1</v>
      </c>
      <c r="I96" s="71">
        <v>1</v>
      </c>
      <c r="K96" s="71">
        <v>0</v>
      </c>
      <c r="M96" s="71"/>
    </row>
    <row r="97" spans="1:16" s="37" customFormat="1" x14ac:dyDescent="0.2">
      <c r="A97" s="41" t="s">
        <v>198</v>
      </c>
      <c r="B97" s="39"/>
      <c r="C97" s="76">
        <v>1188</v>
      </c>
      <c r="E97" s="76">
        <f>E95+E96</f>
        <v>1207</v>
      </c>
      <c r="G97" s="76">
        <v>1269</v>
      </c>
      <c r="I97" s="76">
        <f>SUM(I95:I96)</f>
        <v>1215</v>
      </c>
      <c r="K97" s="76">
        <f>SUM(K95:K96)</f>
        <v>1268</v>
      </c>
      <c r="M97" s="76"/>
    </row>
    <row r="98" spans="1:16" s="40" customFormat="1" x14ac:dyDescent="0.2">
      <c r="A98" s="38" t="s">
        <v>199</v>
      </c>
      <c r="B98" s="39"/>
      <c r="C98" s="63"/>
      <c r="E98" s="63"/>
      <c r="G98" s="63"/>
      <c r="I98" s="63"/>
      <c r="K98" s="63"/>
      <c r="M98" s="63"/>
    </row>
    <row r="99" spans="1:16" s="40" customFormat="1" x14ac:dyDescent="0.2">
      <c r="A99" s="41" t="s">
        <v>2833</v>
      </c>
      <c r="B99" s="39"/>
      <c r="C99" s="76">
        <v>80</v>
      </c>
      <c r="E99" s="76">
        <v>76</v>
      </c>
      <c r="G99" s="76">
        <v>77</v>
      </c>
      <c r="I99" s="76">
        <v>70</v>
      </c>
      <c r="K99" s="76">
        <v>71</v>
      </c>
      <c r="M99" s="76"/>
    </row>
    <row r="100" spans="1:16" s="40" customFormat="1" x14ac:dyDescent="0.2">
      <c r="A100" s="41" t="s">
        <v>2842</v>
      </c>
      <c r="B100" s="39"/>
      <c r="C100" s="76">
        <v>620</v>
      </c>
      <c r="E100" s="76">
        <v>642</v>
      </c>
      <c r="G100" s="76">
        <v>699</v>
      </c>
      <c r="I100" s="76">
        <v>661</v>
      </c>
      <c r="K100" s="76">
        <v>704</v>
      </c>
      <c r="M100" s="76"/>
    </row>
    <row r="101" spans="1:16" s="40" customFormat="1" x14ac:dyDescent="0.2">
      <c r="A101" s="41" t="s">
        <v>2854</v>
      </c>
      <c r="B101" s="39"/>
      <c r="C101" s="76">
        <v>62</v>
      </c>
      <c r="E101" s="76">
        <v>62</v>
      </c>
      <c r="G101" s="76">
        <v>64</v>
      </c>
      <c r="I101" s="76">
        <v>70</v>
      </c>
      <c r="K101" s="76">
        <v>65</v>
      </c>
      <c r="M101" s="76"/>
    </row>
    <row r="102" spans="1:16" s="40" customFormat="1" x14ac:dyDescent="0.2">
      <c r="A102" s="41" t="s">
        <v>2860</v>
      </c>
      <c r="B102" s="39"/>
      <c r="C102" s="76">
        <v>5</v>
      </c>
      <c r="E102" s="76">
        <v>5</v>
      </c>
      <c r="G102" s="76">
        <v>5</v>
      </c>
      <c r="I102" s="76">
        <v>1</v>
      </c>
      <c r="K102" s="76">
        <v>0</v>
      </c>
      <c r="M102" s="76"/>
    </row>
    <row r="103" spans="1:16" s="40" customFormat="1" x14ac:dyDescent="0.2">
      <c r="A103" s="41" t="s">
        <v>2845</v>
      </c>
      <c r="B103" s="39"/>
      <c r="C103" s="76">
        <v>258</v>
      </c>
      <c r="E103" s="76">
        <v>269</v>
      </c>
      <c r="G103" s="76">
        <v>270</v>
      </c>
      <c r="I103" s="76">
        <v>263</v>
      </c>
      <c r="K103" s="76">
        <v>271</v>
      </c>
      <c r="M103" s="76"/>
    </row>
    <row r="104" spans="1:16" s="40" customFormat="1" x14ac:dyDescent="0.2">
      <c r="A104" s="41" t="s">
        <v>2852</v>
      </c>
      <c r="B104" s="39"/>
      <c r="C104" s="76">
        <v>135</v>
      </c>
      <c r="E104" s="76">
        <v>130</v>
      </c>
      <c r="G104" s="76">
        <v>130</v>
      </c>
      <c r="I104" s="76">
        <v>126</v>
      </c>
      <c r="K104" s="76">
        <v>131</v>
      </c>
      <c r="M104" s="76"/>
    </row>
    <row r="105" spans="1:16" s="40" customFormat="1" x14ac:dyDescent="0.2">
      <c r="A105" s="41" t="s">
        <v>263</v>
      </c>
      <c r="B105" s="39"/>
      <c r="C105" s="577">
        <v>28</v>
      </c>
      <c r="E105" s="577">
        <v>23</v>
      </c>
      <c r="G105" s="577">
        <v>24</v>
      </c>
      <c r="I105" s="577">
        <v>24</v>
      </c>
      <c r="K105" s="577">
        <v>26</v>
      </c>
      <c r="M105" s="577"/>
    </row>
    <row r="106" spans="1:16" s="40" customFormat="1" x14ac:dyDescent="0.2">
      <c r="A106" s="41" t="s">
        <v>198</v>
      </c>
      <c r="B106" s="39"/>
      <c r="C106" s="76">
        <v>1188</v>
      </c>
      <c r="E106" s="76">
        <f>SUM(E99:E105)</f>
        <v>1207</v>
      </c>
      <c r="G106" s="76">
        <v>1269</v>
      </c>
      <c r="I106" s="76">
        <f>SUM(I99:I105)</f>
        <v>1215</v>
      </c>
      <c r="K106" s="76">
        <f>SUM(K99:K105)</f>
        <v>1268</v>
      </c>
      <c r="M106" s="76"/>
    </row>
    <row r="107" spans="1:16" s="40" customFormat="1" x14ac:dyDescent="0.2">
      <c r="A107" s="46"/>
      <c r="B107" s="47"/>
    </row>
    <row r="108" spans="1:16" s="40" customFormat="1" x14ac:dyDescent="0.2">
      <c r="A108" s="49" t="s">
        <v>200</v>
      </c>
      <c r="B108" s="50"/>
      <c r="C108" s="65"/>
      <c r="D108" s="463"/>
      <c r="E108" s="417"/>
      <c r="F108" s="463"/>
      <c r="G108" s="417"/>
      <c r="H108" s="463"/>
      <c r="I108" s="417"/>
      <c r="J108" s="463"/>
      <c r="K108" s="417"/>
      <c r="L108" s="463"/>
      <c r="M108" s="65"/>
      <c r="N108" s="463"/>
    </row>
    <row r="109" spans="1:16" ht="30" customHeight="1" x14ac:dyDescent="0.2">
      <c r="A109" s="1738" t="s">
        <v>218</v>
      </c>
      <c r="B109" s="1736"/>
      <c r="C109" s="1737"/>
      <c r="D109" s="1736"/>
      <c r="E109" s="1737"/>
      <c r="F109" s="1736"/>
      <c r="G109" s="1737"/>
      <c r="H109" s="1736"/>
      <c r="I109" s="1737"/>
      <c r="J109" s="1736"/>
      <c r="K109" s="1737"/>
      <c r="L109" s="1736"/>
      <c r="M109" s="1737"/>
      <c r="N109" s="1736"/>
      <c r="O109" s="54"/>
      <c r="P109" s="54"/>
    </row>
    <row r="110" spans="1:16" s="48" customFormat="1" ht="15" customHeight="1" x14ac:dyDescent="0.2">
      <c r="A110" s="1840" t="s">
        <v>2865</v>
      </c>
      <c r="B110" s="1736"/>
      <c r="C110" s="1736"/>
      <c r="D110" s="1736"/>
      <c r="E110" s="1736"/>
      <c r="F110" s="1736"/>
      <c r="G110" s="1736"/>
      <c r="H110" s="1736"/>
      <c r="I110" s="1736"/>
      <c r="J110" s="1736"/>
      <c r="K110" s="1736"/>
      <c r="L110" s="1736"/>
      <c r="M110" s="138"/>
      <c r="N110" s="137"/>
    </row>
    <row r="111" spans="1:16" s="48" customFormat="1" ht="15" customHeight="1" x14ac:dyDescent="0.2">
      <c r="A111" s="1840" t="s">
        <v>2866</v>
      </c>
      <c r="B111" s="1736"/>
      <c r="C111" s="1736"/>
      <c r="D111" s="1736"/>
      <c r="E111" s="1736"/>
      <c r="F111" s="1736"/>
      <c r="G111" s="1736"/>
      <c r="H111" s="1736"/>
      <c r="I111" s="1736"/>
      <c r="J111" s="1736"/>
      <c r="K111" s="1736"/>
      <c r="L111" s="1736"/>
      <c r="M111" s="138"/>
      <c r="N111" s="137"/>
    </row>
    <row r="112" spans="1:16" s="48" customFormat="1" ht="15" customHeight="1" x14ac:dyDescent="0.2">
      <c r="A112" s="1840" t="s">
        <v>2867</v>
      </c>
      <c r="B112" s="1736"/>
      <c r="C112" s="1736"/>
      <c r="D112" s="1736"/>
      <c r="E112" s="1736"/>
      <c r="F112" s="1736"/>
      <c r="G112" s="1736"/>
      <c r="H112" s="1736"/>
      <c r="I112" s="1736"/>
      <c r="J112" s="1736"/>
      <c r="K112" s="1736"/>
      <c r="L112" s="1736"/>
      <c r="M112" s="138"/>
      <c r="N112" s="137"/>
    </row>
    <row r="113" spans="1:17" s="48" customFormat="1" ht="14.25" customHeight="1" x14ac:dyDescent="0.2">
      <c r="A113" s="1840"/>
      <c r="B113" s="1736"/>
      <c r="C113" s="1736"/>
      <c r="D113" s="1736"/>
      <c r="E113" s="1736"/>
      <c r="F113" s="1736"/>
      <c r="G113" s="1736"/>
      <c r="H113" s="1736"/>
      <c r="I113" s="1736"/>
      <c r="J113" s="1736"/>
      <c r="K113" s="1736"/>
      <c r="L113" s="137"/>
      <c r="M113" s="138"/>
      <c r="N113" s="137"/>
    </row>
    <row r="114" spans="1:17" s="48" customFormat="1" ht="32.450000000000003" customHeight="1" x14ac:dyDescent="0.2">
      <c r="A114" s="1840"/>
      <c r="B114" s="1736"/>
      <c r="C114" s="1736"/>
      <c r="D114" s="1736"/>
      <c r="E114" s="1736"/>
      <c r="F114" s="1736"/>
      <c r="G114" s="1736"/>
      <c r="H114" s="1736"/>
      <c r="I114" s="1736"/>
      <c r="J114" s="1736"/>
      <c r="K114" s="1736"/>
      <c r="L114" s="1736"/>
      <c r="M114" s="138"/>
      <c r="N114" s="137"/>
    </row>
    <row r="115" spans="1:17" s="48" customFormat="1" ht="15.75" customHeight="1" x14ac:dyDescent="0.2">
      <c r="A115" s="1840"/>
      <c r="B115" s="1736"/>
      <c r="C115" s="1736"/>
      <c r="D115" s="1736"/>
      <c r="E115" s="1736"/>
      <c r="F115" s="1736"/>
      <c r="G115" s="1736"/>
      <c r="H115" s="1736"/>
      <c r="I115" s="1736"/>
      <c r="J115" s="1736"/>
      <c r="K115" s="1736"/>
      <c r="L115" s="1736"/>
      <c r="M115" s="138"/>
      <c r="N115" s="137"/>
    </row>
    <row r="116" spans="1:17" ht="27.75" customHeight="1" x14ac:dyDescent="0.2">
      <c r="A116" s="330"/>
      <c r="B116" s="137"/>
      <c r="C116" s="138"/>
      <c r="D116" s="137"/>
      <c r="E116" s="138"/>
      <c r="F116" s="137"/>
      <c r="G116" s="138"/>
      <c r="H116" s="137"/>
      <c r="I116" s="138"/>
      <c r="J116" s="137"/>
      <c r="K116" s="138"/>
      <c r="L116" s="137"/>
      <c r="M116" s="138"/>
      <c r="N116" s="137"/>
      <c r="O116" s="54"/>
      <c r="P116" s="54"/>
      <c r="Q116" s="951"/>
    </row>
    <row r="117" spans="1:17" ht="27.75" customHeight="1" x14ac:dyDescent="0.2">
      <c r="A117" s="330"/>
      <c r="B117" s="137"/>
      <c r="C117" s="138"/>
      <c r="D117" s="137"/>
      <c r="E117" s="138"/>
      <c r="F117" s="137"/>
      <c r="G117" s="138"/>
      <c r="H117" s="137"/>
      <c r="I117" s="138"/>
      <c r="J117" s="137"/>
      <c r="K117" s="138"/>
      <c r="L117" s="137"/>
      <c r="M117" s="138"/>
      <c r="N117" s="137"/>
      <c r="O117" s="54"/>
      <c r="P117" s="54"/>
    </row>
    <row r="118" spans="1:17" ht="27.75" customHeight="1" x14ac:dyDescent="0.2">
      <c r="A118" s="330"/>
      <c r="B118" s="137"/>
      <c r="C118" s="138"/>
      <c r="D118" s="137"/>
      <c r="E118" s="138"/>
      <c r="F118" s="137"/>
      <c r="G118" s="138"/>
      <c r="H118" s="137"/>
      <c r="I118" s="138"/>
      <c r="J118" s="137"/>
      <c r="K118" s="138"/>
      <c r="L118" s="137"/>
      <c r="M118" s="138"/>
      <c r="N118" s="137"/>
      <c r="O118" s="54"/>
      <c r="P118" s="54"/>
    </row>
    <row r="119" spans="1:17" ht="27.75" customHeight="1" x14ac:dyDescent="0.2">
      <c r="A119" s="330"/>
      <c r="B119" s="137"/>
      <c r="C119" s="138"/>
      <c r="D119" s="137"/>
      <c r="E119" s="138"/>
      <c r="F119" s="137"/>
      <c r="G119" s="138"/>
      <c r="H119" s="137"/>
      <c r="I119" s="138"/>
      <c r="J119" s="137"/>
      <c r="K119" s="138"/>
      <c r="L119" s="137"/>
      <c r="M119" s="138"/>
      <c r="N119" s="137"/>
      <c r="O119" s="54"/>
      <c r="P119" s="54"/>
    </row>
    <row r="120" spans="1:17" ht="27.75" customHeight="1" x14ac:dyDescent="0.2">
      <c r="A120" s="330"/>
      <c r="B120" s="137"/>
      <c r="C120" s="138"/>
      <c r="D120" s="137"/>
      <c r="E120" s="138"/>
      <c r="F120" s="137"/>
      <c r="G120" s="138"/>
      <c r="H120" s="137"/>
      <c r="I120" s="138"/>
      <c r="J120" s="137"/>
      <c r="K120" s="138"/>
      <c r="L120" s="137"/>
      <c r="M120" s="138"/>
      <c r="N120" s="137"/>
      <c r="O120" s="54"/>
      <c r="P120" s="54"/>
    </row>
    <row r="121" spans="1:17" ht="27.75" customHeight="1" x14ac:dyDescent="0.2">
      <c r="A121" s="330"/>
      <c r="B121" s="137"/>
      <c r="C121" s="138"/>
      <c r="D121" s="137"/>
      <c r="E121" s="138"/>
      <c r="F121" s="137"/>
      <c r="G121" s="138"/>
      <c r="H121" s="137"/>
      <c r="I121" s="138"/>
      <c r="J121" s="137"/>
      <c r="K121" s="138"/>
      <c r="L121" s="137"/>
      <c r="M121" s="138"/>
      <c r="N121" s="137"/>
      <c r="O121" s="54"/>
      <c r="P121" s="54"/>
    </row>
    <row r="122" spans="1:17" ht="27.75" customHeight="1" x14ac:dyDescent="0.2">
      <c r="A122" s="55"/>
      <c r="B122" s="54"/>
      <c r="C122" s="56"/>
      <c r="D122" s="54"/>
      <c r="E122" s="56"/>
      <c r="F122" s="54"/>
      <c r="G122" s="56"/>
      <c r="H122" s="54"/>
      <c r="I122" s="56"/>
      <c r="J122" s="54"/>
      <c r="K122" s="56"/>
      <c r="L122" s="54"/>
      <c r="M122" s="56"/>
      <c r="N122" s="54"/>
      <c r="O122" s="54"/>
      <c r="P122" s="54"/>
    </row>
    <row r="123" spans="1:17" ht="27.75" customHeight="1" x14ac:dyDescent="0.2">
      <c r="A123" s="55"/>
      <c r="B123" s="54"/>
      <c r="C123" s="54"/>
      <c r="D123" s="54"/>
      <c r="E123" s="54"/>
      <c r="F123" s="54"/>
      <c r="G123" s="54"/>
      <c r="H123" s="54"/>
      <c r="I123" s="54"/>
      <c r="J123" s="54"/>
      <c r="K123" s="54"/>
      <c r="L123" s="54"/>
      <c r="M123" s="54"/>
      <c r="N123" s="54"/>
      <c r="O123" s="54"/>
      <c r="P123" s="54"/>
    </row>
    <row r="124" spans="1:17" ht="27.75" customHeight="1" x14ac:dyDescent="0.2">
      <c r="A124" s="55"/>
      <c r="B124" s="54"/>
      <c r="C124" s="56"/>
      <c r="D124" s="54"/>
      <c r="E124" s="56"/>
      <c r="F124" s="54"/>
      <c r="G124" s="56"/>
      <c r="H124" s="54"/>
      <c r="I124" s="56"/>
      <c r="J124" s="54"/>
      <c r="K124" s="56"/>
      <c r="L124" s="54"/>
      <c r="M124" s="56"/>
      <c r="N124" s="54"/>
      <c r="O124" s="54"/>
      <c r="P124" s="54"/>
    </row>
    <row r="125" spans="1:17" ht="27.75" customHeight="1" x14ac:dyDescent="0.2">
      <c r="A125" s="55"/>
      <c r="B125" s="54"/>
      <c r="C125" s="54"/>
      <c r="D125" s="54"/>
      <c r="E125" s="54"/>
      <c r="F125" s="54"/>
      <c r="G125" s="54"/>
      <c r="H125" s="54"/>
      <c r="I125" s="54"/>
      <c r="J125" s="54"/>
      <c r="K125" s="54"/>
      <c r="L125" s="54"/>
      <c r="M125" s="54"/>
      <c r="N125" s="54"/>
      <c r="O125" s="54"/>
      <c r="P125" s="54"/>
    </row>
    <row r="126" spans="1:17" x14ac:dyDescent="0.2">
      <c r="A126" s="55"/>
      <c r="B126" s="54"/>
      <c r="C126" s="56"/>
      <c r="D126" s="54"/>
      <c r="E126" s="56"/>
      <c r="F126" s="54"/>
      <c r="G126" s="56"/>
      <c r="H126" s="54"/>
      <c r="I126" s="56"/>
      <c r="J126" s="54"/>
      <c r="K126" s="56"/>
      <c r="L126" s="54"/>
      <c r="M126" s="56"/>
      <c r="N126" s="54"/>
      <c r="O126" s="54"/>
      <c r="P126" s="54"/>
    </row>
    <row r="127" spans="1:17" x14ac:dyDescent="0.2">
      <c r="A127" s="55"/>
      <c r="B127" s="54"/>
      <c r="C127" s="54"/>
      <c r="D127" s="54"/>
      <c r="E127" s="54"/>
      <c r="F127" s="54"/>
      <c r="G127" s="54"/>
      <c r="H127" s="54"/>
      <c r="I127" s="54"/>
      <c r="J127" s="54"/>
      <c r="K127" s="54"/>
      <c r="L127" s="54"/>
      <c r="M127" s="54"/>
      <c r="N127" s="54"/>
      <c r="O127" s="54"/>
      <c r="P127" s="54"/>
    </row>
    <row r="128" spans="1:17" x14ac:dyDescent="0.2">
      <c r="A128" s="55"/>
      <c r="B128" s="54"/>
      <c r="C128" s="54"/>
      <c r="D128" s="54"/>
      <c r="E128" s="54"/>
      <c r="F128" s="54"/>
      <c r="G128" s="54"/>
      <c r="H128" s="54"/>
      <c r="I128" s="54"/>
      <c r="J128" s="54"/>
      <c r="K128" s="54"/>
      <c r="L128" s="54"/>
      <c r="M128" s="54"/>
      <c r="N128" s="54"/>
      <c r="O128" s="54"/>
      <c r="P128" s="54"/>
    </row>
    <row r="129" spans="1:17" x14ac:dyDescent="0.2">
      <c r="A129" s="55"/>
      <c r="B129" s="54"/>
      <c r="C129" s="54"/>
      <c r="D129" s="54"/>
      <c r="E129" s="54"/>
      <c r="F129" s="54"/>
      <c r="G129" s="54"/>
      <c r="H129" s="54"/>
      <c r="I129" s="54"/>
      <c r="J129" s="54"/>
      <c r="K129" s="54"/>
      <c r="L129" s="54"/>
      <c r="M129" s="54"/>
      <c r="N129" s="54"/>
      <c r="O129" s="54"/>
      <c r="P129" s="54"/>
    </row>
    <row r="130" spans="1:17" x14ac:dyDescent="0.2">
      <c r="B130" s="25"/>
      <c r="C130" s="25"/>
      <c r="D130" s="25"/>
      <c r="E130" s="58"/>
      <c r="F130" s="58"/>
      <c r="G130" s="58"/>
      <c r="H130" s="58"/>
      <c r="O130" s="54"/>
      <c r="P130" s="54"/>
    </row>
    <row r="131" spans="1:17" x14ac:dyDescent="0.2">
      <c r="B131" s="25"/>
      <c r="C131" s="25"/>
      <c r="D131" s="25"/>
      <c r="E131" s="58"/>
      <c r="F131" s="58"/>
      <c r="G131" s="58"/>
      <c r="H131" s="58"/>
      <c r="O131" s="54"/>
      <c r="P131" s="54"/>
    </row>
    <row r="132" spans="1:17" x14ac:dyDescent="0.2">
      <c r="B132" s="25"/>
      <c r="C132" s="25"/>
      <c r="D132" s="25"/>
      <c r="E132" s="58"/>
      <c r="F132" s="58"/>
      <c r="G132" s="58"/>
      <c r="H132" s="58"/>
      <c r="O132" s="54"/>
      <c r="P132" s="54"/>
    </row>
    <row r="133" spans="1:17" x14ac:dyDescent="0.2">
      <c r="B133" s="25"/>
      <c r="C133" s="25"/>
      <c r="D133" s="25"/>
      <c r="E133" s="58"/>
      <c r="F133" s="58"/>
      <c r="G133" s="58"/>
      <c r="H133" s="58"/>
      <c r="O133" s="54"/>
      <c r="P133" s="54"/>
      <c r="Q133" s="57"/>
    </row>
    <row r="134" spans="1:17" x14ac:dyDescent="0.2">
      <c r="B134" s="25"/>
      <c r="C134" s="25"/>
      <c r="D134" s="25"/>
      <c r="E134" s="58"/>
      <c r="F134" s="58"/>
      <c r="G134" s="58"/>
      <c r="H134" s="58"/>
    </row>
    <row r="135" spans="1:17" x14ac:dyDescent="0.2">
      <c r="B135" s="25"/>
      <c r="C135" s="25"/>
      <c r="D135" s="25"/>
      <c r="E135" s="58"/>
      <c r="F135" s="58"/>
      <c r="G135" s="58"/>
      <c r="H135" s="58"/>
    </row>
    <row r="136" spans="1:17" x14ac:dyDescent="0.2">
      <c r="B136" s="25"/>
      <c r="C136" s="25"/>
      <c r="D136" s="25"/>
      <c r="E136" s="58"/>
      <c r="F136" s="58"/>
      <c r="G136" s="58"/>
      <c r="H136" s="58"/>
    </row>
    <row r="137" spans="1:17" x14ac:dyDescent="0.2">
      <c r="B137" s="25"/>
      <c r="C137" s="25"/>
      <c r="D137" s="25"/>
      <c r="E137" s="58"/>
      <c r="F137" s="58"/>
      <c r="G137" s="58"/>
      <c r="H137" s="58"/>
    </row>
    <row r="138" spans="1:17" x14ac:dyDescent="0.2">
      <c r="B138" s="25"/>
      <c r="C138" s="25"/>
      <c r="D138" s="25"/>
      <c r="E138" s="58"/>
      <c r="F138" s="58"/>
      <c r="G138" s="58"/>
      <c r="H138" s="58"/>
    </row>
    <row r="139" spans="1:17" x14ac:dyDescent="0.2">
      <c r="B139" s="25"/>
      <c r="C139" s="25"/>
      <c r="D139" s="25"/>
      <c r="E139" s="58"/>
      <c r="F139" s="58"/>
      <c r="G139" s="58"/>
      <c r="H139" s="58"/>
    </row>
    <row r="140" spans="1:17" x14ac:dyDescent="0.2">
      <c r="B140" s="25"/>
      <c r="C140" s="25"/>
      <c r="D140" s="25"/>
      <c r="E140" s="58"/>
      <c r="F140" s="58"/>
      <c r="G140" s="58"/>
      <c r="H140" s="58"/>
    </row>
    <row r="141" spans="1:17" x14ac:dyDescent="0.2">
      <c r="B141" s="25"/>
      <c r="C141" s="25"/>
      <c r="D141" s="25"/>
      <c r="E141" s="58"/>
      <c r="F141" s="58"/>
      <c r="G141" s="58"/>
      <c r="H141" s="58"/>
    </row>
    <row r="142" spans="1:17" x14ac:dyDescent="0.2">
      <c r="B142" s="25"/>
      <c r="C142" s="25"/>
      <c r="D142" s="25"/>
      <c r="E142" s="58"/>
      <c r="F142" s="58"/>
      <c r="G142" s="58"/>
      <c r="H142" s="58"/>
    </row>
    <row r="143" spans="1:17" x14ac:dyDescent="0.2">
      <c r="B143" s="25"/>
      <c r="C143" s="25"/>
      <c r="D143" s="25"/>
      <c r="E143" s="58"/>
      <c r="F143" s="58"/>
      <c r="G143" s="58"/>
      <c r="H143" s="58"/>
    </row>
    <row r="144" spans="1:17" x14ac:dyDescent="0.2">
      <c r="B144" s="25"/>
      <c r="C144" s="25"/>
      <c r="D144" s="25"/>
      <c r="E144" s="58"/>
      <c r="F144" s="58"/>
      <c r="G144" s="58"/>
      <c r="H144" s="58"/>
    </row>
    <row r="145" spans="2:8" x14ac:dyDescent="0.2">
      <c r="B145" s="25"/>
      <c r="C145" s="25"/>
      <c r="D145" s="25"/>
      <c r="E145" s="58"/>
      <c r="F145" s="58"/>
      <c r="G145" s="58"/>
      <c r="H145" s="58"/>
    </row>
    <row r="146" spans="2:8" x14ac:dyDescent="0.2">
      <c r="B146" s="25"/>
      <c r="C146" s="25"/>
      <c r="D146" s="25"/>
      <c r="E146" s="58"/>
      <c r="F146" s="58"/>
      <c r="G146" s="58"/>
      <c r="H146" s="58"/>
    </row>
    <row r="147" spans="2:8" x14ac:dyDescent="0.2">
      <c r="B147" s="25"/>
      <c r="C147" s="25"/>
      <c r="D147" s="25"/>
      <c r="E147" s="58"/>
      <c r="F147" s="58"/>
      <c r="G147" s="58"/>
      <c r="H147" s="58"/>
    </row>
    <row r="148" spans="2:8" x14ac:dyDescent="0.2">
      <c r="B148" s="25"/>
      <c r="C148" s="25"/>
      <c r="D148" s="25"/>
      <c r="E148" s="58"/>
      <c r="F148" s="58"/>
      <c r="G148" s="58"/>
      <c r="H148" s="58"/>
    </row>
    <row r="149" spans="2:8" x14ac:dyDescent="0.2">
      <c r="B149" s="25"/>
      <c r="C149" s="25"/>
      <c r="D149" s="25"/>
      <c r="E149" s="58"/>
      <c r="F149" s="58"/>
      <c r="G149" s="58"/>
      <c r="H149" s="58"/>
    </row>
    <row r="150" spans="2:8" x14ac:dyDescent="0.2">
      <c r="B150" s="25"/>
      <c r="C150" s="25"/>
      <c r="D150" s="25"/>
      <c r="E150" s="58"/>
      <c r="F150" s="58"/>
      <c r="G150" s="58"/>
      <c r="H150" s="58"/>
    </row>
    <row r="151" spans="2:8" x14ac:dyDescent="0.2">
      <c r="B151" s="25"/>
      <c r="C151" s="25"/>
      <c r="D151" s="25"/>
      <c r="E151" s="58"/>
      <c r="F151" s="58"/>
      <c r="G151" s="58"/>
      <c r="H151" s="58"/>
    </row>
    <row r="152" spans="2:8" x14ac:dyDescent="0.2">
      <c r="B152" s="25"/>
      <c r="C152" s="25"/>
      <c r="D152" s="25"/>
      <c r="E152" s="58"/>
      <c r="F152" s="58"/>
      <c r="G152" s="58"/>
      <c r="H152" s="58"/>
    </row>
    <row r="153" spans="2:8" x14ac:dyDescent="0.2">
      <c r="B153" s="25"/>
      <c r="C153" s="25"/>
      <c r="D153" s="25"/>
      <c r="E153" s="58"/>
      <c r="F153" s="58"/>
      <c r="G153" s="58"/>
      <c r="H153" s="58"/>
    </row>
    <row r="154" spans="2:8" x14ac:dyDescent="0.2">
      <c r="B154" s="25"/>
      <c r="C154" s="25"/>
      <c r="D154" s="25"/>
      <c r="E154" s="58"/>
      <c r="F154" s="58"/>
      <c r="G154" s="58"/>
      <c r="H154" s="58"/>
    </row>
    <row r="155" spans="2:8" x14ac:dyDescent="0.2">
      <c r="B155" s="25"/>
      <c r="C155" s="25"/>
      <c r="D155" s="25"/>
      <c r="E155" s="58"/>
      <c r="F155" s="58"/>
      <c r="G155" s="58"/>
      <c r="H155" s="58"/>
    </row>
    <row r="156" spans="2:8" x14ac:dyDescent="0.2">
      <c r="B156" s="25"/>
      <c r="C156" s="25"/>
      <c r="D156" s="25"/>
      <c r="E156" s="58"/>
      <c r="F156" s="58"/>
      <c r="G156" s="58"/>
      <c r="H156" s="58"/>
    </row>
    <row r="157" spans="2:8" x14ac:dyDescent="0.2">
      <c r="B157" s="25"/>
      <c r="C157" s="25"/>
      <c r="D157" s="25"/>
      <c r="E157" s="58"/>
      <c r="F157" s="58"/>
      <c r="G157" s="58"/>
      <c r="H157" s="58"/>
    </row>
    <row r="158" spans="2:8" x14ac:dyDescent="0.2">
      <c r="B158" s="25"/>
      <c r="C158" s="25"/>
      <c r="D158" s="25"/>
      <c r="E158" s="58"/>
      <c r="F158" s="58"/>
      <c r="G158" s="58"/>
      <c r="H158" s="58"/>
    </row>
    <row r="159" spans="2:8" x14ac:dyDescent="0.2">
      <c r="B159" s="25"/>
    </row>
    <row r="160" spans="2:8" x14ac:dyDescent="0.2">
      <c r="B160" s="25"/>
    </row>
    <row r="161" spans="2:2" x14ac:dyDescent="0.2">
      <c r="B161" s="25"/>
    </row>
    <row r="162" spans="2:2" x14ac:dyDescent="0.2">
      <c r="B162" s="25"/>
    </row>
    <row r="163" spans="2:2" x14ac:dyDescent="0.2">
      <c r="B163" s="25"/>
    </row>
    <row r="164" spans="2:2" x14ac:dyDescent="0.2">
      <c r="B164" s="25"/>
    </row>
    <row r="165" spans="2:2" x14ac:dyDescent="0.2">
      <c r="B165" s="25"/>
    </row>
    <row r="166" spans="2:2" x14ac:dyDescent="0.2">
      <c r="B166" s="25"/>
    </row>
    <row r="167" spans="2:2" x14ac:dyDescent="0.2">
      <c r="B167" s="25"/>
    </row>
    <row r="168" spans="2:2" x14ac:dyDescent="0.2">
      <c r="B168" s="25"/>
    </row>
    <row r="169" spans="2:2" x14ac:dyDescent="0.2">
      <c r="B169" s="25"/>
    </row>
    <row r="170" spans="2:2" x14ac:dyDescent="0.2">
      <c r="B170" s="25"/>
    </row>
    <row r="171" spans="2:2" x14ac:dyDescent="0.2">
      <c r="B171" s="25"/>
    </row>
    <row r="172" spans="2:2" x14ac:dyDescent="0.2">
      <c r="B172" s="25"/>
    </row>
    <row r="173" spans="2:2" x14ac:dyDescent="0.2">
      <c r="B173" s="25"/>
    </row>
    <row r="174" spans="2:2" x14ac:dyDescent="0.2">
      <c r="B174" s="25"/>
    </row>
    <row r="175" spans="2:2" x14ac:dyDescent="0.2">
      <c r="B175" s="25"/>
    </row>
  </sheetData>
  <mergeCells count="8">
    <mergeCell ref="A115:L115"/>
    <mergeCell ref="K2:K3"/>
    <mergeCell ref="A109:N109"/>
    <mergeCell ref="A110:L110"/>
    <mergeCell ref="A111:L111"/>
    <mergeCell ref="A112:L112"/>
    <mergeCell ref="A113:K113"/>
    <mergeCell ref="A114:L114"/>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6" fitToHeight="2" pageOrder="overThenDown" orientation="portrait" blackAndWhite="1" r:id="rId1"/>
  <headerFooter alignWithMargins="0"/>
  <rowBreaks count="1" manualBreakCount="1">
    <brk id="59" max="13"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6">
    <pageSetUpPr fitToPage="1"/>
  </sheetPr>
  <dimension ref="A1:P2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31.5703125" style="25" customWidth="1"/>
    <col min="2" max="2" width="6.42578125" style="26" bestFit="1"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4.5703125" style="60" bestFit="1" customWidth="1"/>
    <col min="11" max="11" width="13.7109375" style="59" customWidth="1"/>
    <col min="12" max="12" width="4.5703125" style="60" bestFit="1" customWidth="1"/>
    <col min="13" max="13" width="13.7109375" style="59" hidden="1" customWidth="1"/>
    <col min="14" max="14" width="4.57031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176</v>
      </c>
      <c r="C2" s="7" t="s">
        <v>0</v>
      </c>
      <c r="D2" s="6"/>
      <c r="E2" s="8"/>
      <c r="F2" s="9"/>
      <c r="G2" s="8"/>
      <c r="H2" s="6"/>
      <c r="I2" s="8"/>
      <c r="J2" s="6"/>
      <c r="K2" s="1733" t="s">
        <v>171</v>
      </c>
      <c r="L2" s="6"/>
      <c r="M2" s="8"/>
      <c r="N2" s="6"/>
    </row>
    <row r="3" spans="1:16" s="4" customFormat="1" ht="15.75" x14ac:dyDescent="0.25">
      <c r="A3" s="1" t="s">
        <v>177</v>
      </c>
      <c r="B3" s="10" t="s">
        <v>2868</v>
      </c>
      <c r="C3" s="10" t="s">
        <v>2869</v>
      </c>
      <c r="D3" s="6"/>
      <c r="E3" s="11"/>
      <c r="F3" s="9"/>
      <c r="G3" s="11"/>
      <c r="H3" s="6"/>
      <c r="I3" s="11"/>
      <c r="J3" s="6"/>
      <c r="K3" s="1734"/>
      <c r="L3" s="6"/>
      <c r="M3" s="11"/>
      <c r="N3" s="6"/>
    </row>
    <row r="4" spans="1:16" s="4" customFormat="1" ht="15.75" x14ac:dyDescent="0.25">
      <c r="A4" s="1" t="s">
        <v>180</v>
      </c>
      <c r="B4" s="10" t="s">
        <v>2505</v>
      </c>
      <c r="C4" s="10" t="s">
        <v>67</v>
      </c>
      <c r="D4" s="6"/>
      <c r="E4" s="11"/>
      <c r="F4" s="9"/>
      <c r="G4" s="11"/>
      <c r="H4" s="6"/>
      <c r="I4" s="11"/>
      <c r="J4" s="6"/>
      <c r="K4" s="11"/>
      <c r="L4" s="6"/>
      <c r="M4" s="11"/>
      <c r="N4" s="6"/>
    </row>
    <row r="5" spans="1:16" s="4" customFormat="1" ht="15.75" x14ac:dyDescent="0.2">
      <c r="A5" s="1" t="s">
        <v>183</v>
      </c>
      <c r="B5" s="12" t="s">
        <v>2870</v>
      </c>
      <c r="C5" s="12" t="s">
        <v>2871</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x14ac:dyDescent="0.2">
      <c r="A10" s="35" t="s">
        <v>194</v>
      </c>
      <c r="B10" s="25"/>
      <c r="C10" s="59"/>
      <c r="D10" s="60"/>
    </row>
    <row r="11" spans="1:16" x14ac:dyDescent="0.2">
      <c r="A11" s="35" t="s">
        <v>195</v>
      </c>
      <c r="B11" s="25"/>
      <c r="C11" s="59"/>
      <c r="D11" s="60"/>
    </row>
    <row r="12" spans="1:16" x14ac:dyDescent="0.2">
      <c r="A12" s="38" t="s">
        <v>196</v>
      </c>
      <c r="B12" s="25"/>
      <c r="C12" s="59"/>
      <c r="D12" s="60"/>
    </row>
    <row r="13" spans="1:16" x14ac:dyDescent="0.2">
      <c r="A13" s="41" t="s">
        <v>522</v>
      </c>
      <c r="B13" s="25"/>
      <c r="C13" s="59">
        <v>1</v>
      </c>
      <c r="D13" s="60"/>
      <c r="E13" s="59">
        <v>1</v>
      </c>
      <c r="G13" s="59">
        <v>1</v>
      </c>
      <c r="I13" s="59">
        <v>1</v>
      </c>
      <c r="K13" s="59">
        <v>1</v>
      </c>
    </row>
    <row r="14" spans="1:16" x14ac:dyDescent="0.2">
      <c r="A14" s="41" t="s">
        <v>198</v>
      </c>
      <c r="B14" s="25"/>
      <c r="C14" s="59">
        <v>1</v>
      </c>
      <c r="D14" s="60"/>
      <c r="E14" s="59">
        <v>1</v>
      </c>
      <c r="G14" s="59">
        <v>1</v>
      </c>
      <c r="I14" s="59">
        <v>1</v>
      </c>
      <c r="K14" s="59">
        <v>1</v>
      </c>
    </row>
    <row r="15" spans="1:16" ht="15" x14ac:dyDescent="0.25">
      <c r="A15" s="963" t="s">
        <v>199</v>
      </c>
      <c r="B15" s="25"/>
      <c r="C15" s="59"/>
      <c r="D15" s="60"/>
    </row>
    <row r="16" spans="1:16" x14ac:dyDescent="0.2">
      <c r="A16" s="41" t="s">
        <v>2871</v>
      </c>
      <c r="B16" s="39"/>
      <c r="C16" s="59">
        <v>1</v>
      </c>
      <c r="D16" s="60"/>
      <c r="E16" s="59">
        <v>1</v>
      </c>
      <c r="G16" s="59">
        <v>1</v>
      </c>
      <c r="I16" s="59">
        <v>1</v>
      </c>
      <c r="K16" s="59">
        <v>1</v>
      </c>
      <c r="M16" s="577"/>
      <c r="N16" s="40"/>
    </row>
    <row r="17" spans="1:14" x14ac:dyDescent="0.2">
      <c r="A17" s="41" t="s">
        <v>198</v>
      </c>
      <c r="C17" s="59">
        <v>1</v>
      </c>
      <c r="D17" s="60"/>
      <c r="E17" s="59">
        <v>1</v>
      </c>
      <c r="G17" s="59">
        <v>1</v>
      </c>
      <c r="I17" s="59">
        <v>1</v>
      </c>
      <c r="K17" s="59">
        <v>1</v>
      </c>
    </row>
    <row r="18" spans="1:14" x14ac:dyDescent="0.2">
      <c r="A18" s="29"/>
      <c r="C18" s="59"/>
      <c r="D18" s="60"/>
    </row>
    <row r="19" spans="1:14" x14ac:dyDescent="0.2">
      <c r="A19" s="41"/>
      <c r="B19" s="25"/>
      <c r="E19" s="451"/>
      <c r="G19" s="451"/>
      <c r="I19" s="451"/>
      <c r="K19" s="451"/>
    </row>
    <row r="20" spans="1:14" ht="27.75" customHeight="1" x14ac:dyDescent="0.2">
      <c r="A20" s="1738" t="s">
        <v>524</v>
      </c>
      <c r="B20" s="1736"/>
      <c r="C20" s="1737"/>
      <c r="D20" s="1736"/>
      <c r="E20" s="1737"/>
      <c r="F20" s="1736"/>
      <c r="G20" s="1737"/>
      <c r="H20" s="1736"/>
      <c r="I20" s="1737"/>
      <c r="J20" s="1736"/>
      <c r="K20" s="1737"/>
      <c r="L20" s="1736"/>
      <c r="M20" s="1737"/>
      <c r="N20" s="1736"/>
    </row>
    <row r="21" spans="1:14" x14ac:dyDescent="0.2">
      <c r="B21" s="25"/>
    </row>
    <row r="22" spans="1:14" x14ac:dyDescent="0.2">
      <c r="B22" s="25"/>
    </row>
  </sheetData>
  <mergeCells count="2">
    <mergeCell ref="A20:N20"/>
    <mergeCell ref="K2:K3"/>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79" fitToHeight="99" pageOrder="overThenDown" orientation="portrait" blackAndWhite="1"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7"/>
  <dimension ref="A1:R138"/>
  <sheetViews>
    <sheetView showGridLines="0" zoomScaleNormal="100" workbookViewId="0">
      <pane xSplit="2" ySplit="9" topLeftCell="C16"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39" style="1208" customWidth="1"/>
    <col min="2" max="2" width="7.28515625" style="1209" customWidth="1"/>
    <col min="3" max="3" width="16.5703125" style="1239" customWidth="1"/>
    <col min="4" max="4" width="3" style="1239" customWidth="1"/>
    <col min="5" max="5" width="16.7109375" style="1227" customWidth="1"/>
    <col min="6" max="6" width="2.85546875" style="1228" customWidth="1"/>
    <col min="7" max="7" width="13.7109375" style="1227" hidden="1" customWidth="1"/>
    <col min="8" max="8" width="8" style="1228" hidden="1" customWidth="1"/>
    <col min="9" max="9" width="16.5703125" style="1227" customWidth="1"/>
    <col min="10" max="10" width="3.140625" style="1228" bestFit="1" customWidth="1"/>
    <col min="11" max="11" width="16.5703125" style="1227" customWidth="1"/>
    <col min="12" max="12" width="3.140625" style="1228" bestFit="1" customWidth="1"/>
    <col min="13" max="13" width="16.5703125" style="1227" hidden="1" customWidth="1"/>
    <col min="14" max="14" width="3.140625" style="1228" hidden="1" customWidth="1"/>
    <col min="15" max="15" width="13.7109375" style="1227" customWidth="1"/>
    <col min="16" max="16" width="2.85546875" style="1228" customWidth="1"/>
    <col min="17" max="17" width="3.42578125" style="1020" customWidth="1"/>
    <col min="18" max="18" width="10" style="1020" bestFit="1" customWidth="1"/>
    <col min="19" max="16384" width="9.140625" style="1020"/>
  </cols>
  <sheetData>
    <row r="1" spans="1:16" s="1191" customFormat="1" ht="15.75" x14ac:dyDescent="0.2">
      <c r="A1" s="1188" t="s">
        <v>174</v>
      </c>
      <c r="B1" s="1189">
        <v>2019</v>
      </c>
      <c r="C1" s="1190"/>
      <c r="E1" s="1190"/>
      <c r="G1" s="1192"/>
      <c r="I1" s="1192"/>
      <c r="J1" s="1193"/>
      <c r="K1" s="1192"/>
      <c r="L1" s="1193"/>
      <c r="M1" s="1192"/>
      <c r="N1" s="1193"/>
    </row>
    <row r="2" spans="1:16" s="1191" customFormat="1" ht="15.75" x14ac:dyDescent="0.25">
      <c r="A2" s="1188" t="s">
        <v>175</v>
      </c>
      <c r="B2" s="1529" t="s">
        <v>176</v>
      </c>
      <c r="C2" s="1529" t="s">
        <v>176</v>
      </c>
      <c r="D2" s="1193"/>
      <c r="E2" s="1194"/>
      <c r="F2" s="1195"/>
      <c r="G2" s="1194"/>
      <c r="H2" s="1193"/>
      <c r="I2" s="1194"/>
      <c r="J2" s="1193"/>
      <c r="K2" s="1733" t="s">
        <v>171</v>
      </c>
      <c r="L2" s="1193"/>
      <c r="M2" s="1194"/>
      <c r="N2" s="1193"/>
    </row>
    <row r="3" spans="1:16" s="1191" customFormat="1" ht="15.75" x14ac:dyDescent="0.25">
      <c r="A3" s="1188" t="s">
        <v>177</v>
      </c>
      <c r="B3" s="1530">
        <v>94</v>
      </c>
      <c r="C3" s="1530">
        <v>94</v>
      </c>
      <c r="D3" s="1193"/>
      <c r="E3" s="1196"/>
      <c r="F3" s="1195"/>
      <c r="G3" s="1196"/>
      <c r="H3" s="1193"/>
      <c r="I3" s="1196"/>
      <c r="J3" s="1193"/>
      <c r="K3" s="1734"/>
      <c r="L3" s="1193"/>
      <c r="M3" s="1196"/>
      <c r="N3" s="1193"/>
    </row>
    <row r="4" spans="1:16" s="1191" customFormat="1" ht="15.75" x14ac:dyDescent="0.25">
      <c r="A4" s="1188" t="s">
        <v>180</v>
      </c>
      <c r="B4" s="1530">
        <v>74</v>
      </c>
      <c r="C4" s="1530">
        <v>74</v>
      </c>
      <c r="D4" s="1193"/>
      <c r="E4" s="1196"/>
      <c r="F4" s="1195"/>
      <c r="G4" s="1196"/>
      <c r="H4" s="1193"/>
      <c r="I4" s="1196"/>
      <c r="J4" s="1193"/>
      <c r="K4" s="1196"/>
      <c r="L4" s="1193"/>
      <c r="M4" s="1196"/>
      <c r="N4" s="1193"/>
    </row>
    <row r="5" spans="1:16" s="1191" customFormat="1" ht="15.75" x14ac:dyDescent="0.2">
      <c r="A5" s="1188" t="s">
        <v>183</v>
      </c>
      <c r="B5" s="1531">
        <v>9410</v>
      </c>
      <c r="C5" s="1531">
        <v>9410</v>
      </c>
      <c r="D5" s="1197"/>
      <c r="E5" s="1198"/>
      <c r="G5" s="1198"/>
      <c r="I5" s="1198"/>
      <c r="K5" s="1198"/>
      <c r="M5" s="1198"/>
    </row>
    <row r="6" spans="1:16" s="1191" customFormat="1" ht="15.75" x14ac:dyDescent="0.25">
      <c r="A6" s="1199" t="s">
        <v>186</v>
      </c>
      <c r="B6" s="1200">
        <v>4</v>
      </c>
      <c r="C6" s="1201"/>
      <c r="D6" s="1202"/>
      <c r="E6" s="1203"/>
      <c r="F6" s="1195"/>
      <c r="G6" s="1194"/>
      <c r="H6" s="1193"/>
      <c r="I6" s="1194"/>
      <c r="J6" s="1193"/>
      <c r="K6" s="1194"/>
      <c r="L6" s="1193"/>
      <c r="M6" s="1194"/>
      <c r="N6" s="1193"/>
    </row>
    <row r="7" spans="1:16" s="1532" customFormat="1" x14ac:dyDescent="0.2">
      <c r="A7" s="1204"/>
      <c r="B7" s="1205"/>
      <c r="C7" s="1206"/>
      <c r="D7" s="1207"/>
      <c r="E7" s="1206"/>
      <c r="F7" s="1207"/>
      <c r="G7" s="1206"/>
      <c r="H7" s="1207"/>
      <c r="I7" s="1206"/>
      <c r="J7" s="1207"/>
      <c r="K7" s="1206" t="s">
        <v>187</v>
      </c>
      <c r="L7" s="1207"/>
      <c r="M7" s="1206" t="s">
        <v>187</v>
      </c>
      <c r="N7" s="1207"/>
    </row>
    <row r="8" spans="1:16" x14ac:dyDescent="0.2">
      <c r="C8" s="1210" t="s">
        <v>188</v>
      </c>
      <c r="D8" s="1211" t="s">
        <v>189</v>
      </c>
      <c r="E8" s="1210" t="s">
        <v>188</v>
      </c>
      <c r="F8" s="1211" t="s">
        <v>189</v>
      </c>
      <c r="G8" s="1210" t="s">
        <v>190</v>
      </c>
      <c r="H8" s="1211" t="s">
        <v>189</v>
      </c>
      <c r="I8" s="1210" t="s">
        <v>191</v>
      </c>
      <c r="J8" s="1211" t="s">
        <v>189</v>
      </c>
      <c r="K8" s="1210" t="s">
        <v>192</v>
      </c>
      <c r="L8" s="1211" t="s">
        <v>189</v>
      </c>
      <c r="M8" s="1210" t="s">
        <v>192</v>
      </c>
      <c r="N8" s="1211" t="s">
        <v>189</v>
      </c>
      <c r="O8" s="1020"/>
      <c r="P8" s="1020"/>
    </row>
    <row r="9" spans="1:16" s="1532" customFormat="1" ht="14.25" x14ac:dyDescent="0.2">
      <c r="A9" s="1212"/>
      <c r="B9" s="1213"/>
      <c r="C9" s="1374" t="str">
        <f>"FY " &amp; FiscalYear - 3</f>
        <v>FY 2016</v>
      </c>
      <c r="D9" s="1375" t="s">
        <v>193</v>
      </c>
      <c r="E9" s="1374" t="str">
        <f>"FY " &amp; FiscalYear - 2</f>
        <v>FY 2017</v>
      </c>
      <c r="F9" s="1375" t="s">
        <v>193</v>
      </c>
      <c r="G9" s="1374" t="str">
        <f>"FY " &amp; FiscalYear - 1</f>
        <v>FY 2018</v>
      </c>
      <c r="H9" s="1375" t="s">
        <v>193</v>
      </c>
      <c r="I9" s="1376" t="str">
        <f>"FY " &amp; FiscalYear - 1</f>
        <v>FY 2018</v>
      </c>
      <c r="J9" s="1375" t="s">
        <v>193</v>
      </c>
      <c r="K9" s="1376" t="str">
        <f>"FY " &amp; FiscalYear</f>
        <v>FY 2019</v>
      </c>
      <c r="L9" s="1375" t="s">
        <v>193</v>
      </c>
      <c r="M9" s="1376" t="str">
        <f>"FY " &amp; FiscalYear + 1</f>
        <v>FY 2020</v>
      </c>
      <c r="N9" s="1375" t="s">
        <v>193</v>
      </c>
    </row>
    <row r="10" spans="1:16" s="142" customFormat="1" x14ac:dyDescent="0.2">
      <c r="A10" s="139" t="s">
        <v>222</v>
      </c>
      <c r="B10" s="140"/>
    </row>
    <row r="11" spans="1:16" s="142" customFormat="1" x14ac:dyDescent="0.2">
      <c r="A11" s="139" t="s">
        <v>74</v>
      </c>
      <c r="B11" s="140"/>
    </row>
    <row r="12" spans="1:16" s="148" customFormat="1" x14ac:dyDescent="0.2">
      <c r="A12" s="211" t="s">
        <v>2872</v>
      </c>
      <c r="B12" s="145"/>
    </row>
    <row r="13" spans="1:16" s="148" customFormat="1" x14ac:dyDescent="0.2">
      <c r="A13" s="144" t="s">
        <v>2873</v>
      </c>
      <c r="B13" s="145"/>
      <c r="C13" s="1533">
        <v>184745205</v>
      </c>
      <c r="D13" s="106"/>
      <c r="E13" s="1533">
        <v>179890783.83999997</v>
      </c>
      <c r="G13" s="1534">
        <v>165264215</v>
      </c>
      <c r="I13" s="1534">
        <v>172173469</v>
      </c>
      <c r="K13" s="1534">
        <v>167783046</v>
      </c>
      <c r="M13" s="1535"/>
    </row>
    <row r="14" spans="1:16" s="148" customFormat="1" x14ac:dyDescent="0.2">
      <c r="A14" s="144" t="s">
        <v>2874</v>
      </c>
      <c r="B14" s="145"/>
      <c r="C14" s="104">
        <v>409</v>
      </c>
      <c r="D14" s="106"/>
      <c r="E14" s="104">
        <v>432</v>
      </c>
      <c r="G14" s="104">
        <v>404</v>
      </c>
      <c r="I14" s="104">
        <v>443</v>
      </c>
      <c r="K14" s="104">
        <v>454</v>
      </c>
      <c r="M14" s="554"/>
    </row>
    <row r="15" spans="1:16" s="148" customFormat="1" x14ac:dyDescent="0.2">
      <c r="A15" s="144" t="s">
        <v>2875</v>
      </c>
      <c r="B15" s="145"/>
      <c r="C15" s="104">
        <v>638</v>
      </c>
      <c r="D15" s="106"/>
      <c r="E15" s="104">
        <v>657</v>
      </c>
      <c r="G15" s="104">
        <v>684</v>
      </c>
      <c r="I15" s="104">
        <v>681</v>
      </c>
      <c r="K15" s="104">
        <v>707</v>
      </c>
      <c r="M15" s="554"/>
    </row>
    <row r="16" spans="1:16" s="148" customFormat="1" x14ac:dyDescent="0.2">
      <c r="A16" s="144" t="s">
        <v>2876</v>
      </c>
      <c r="B16" s="145"/>
      <c r="C16" s="1533">
        <v>53842747</v>
      </c>
      <c r="D16" s="106"/>
      <c r="E16" s="1533">
        <v>55642074</v>
      </c>
      <c r="G16" s="1534">
        <v>59090148</v>
      </c>
      <c r="I16" s="1534">
        <v>58049706</v>
      </c>
      <c r="K16" s="1534">
        <v>60561517</v>
      </c>
      <c r="M16" s="1535"/>
    </row>
    <row r="17" spans="1:13" s="148" customFormat="1" x14ac:dyDescent="0.2">
      <c r="A17" s="144" t="s">
        <v>2877</v>
      </c>
      <c r="B17" s="145"/>
      <c r="C17" s="1533">
        <v>843774</v>
      </c>
      <c r="D17" s="106"/>
      <c r="E17" s="1533">
        <v>664379</v>
      </c>
      <c r="G17" s="1534">
        <v>646000</v>
      </c>
      <c r="I17" s="1534">
        <v>676000</v>
      </c>
      <c r="K17" s="1534">
        <v>696000</v>
      </c>
      <c r="M17" s="1535"/>
    </row>
    <row r="18" spans="1:13" s="148" customFormat="1" x14ac:dyDescent="0.2">
      <c r="A18" s="211" t="s">
        <v>2878</v>
      </c>
      <c r="B18" s="145"/>
      <c r="C18" s="1533"/>
      <c r="D18" s="106"/>
      <c r="E18" s="106"/>
      <c r="M18" s="106"/>
    </row>
    <row r="19" spans="1:13" s="148" customFormat="1" x14ac:dyDescent="0.2">
      <c r="A19" s="144" t="s">
        <v>2873</v>
      </c>
      <c r="B19" s="145"/>
      <c r="C19" s="1533">
        <v>6215298</v>
      </c>
      <c r="D19" s="106"/>
      <c r="E19" s="1533">
        <v>5704349.0599999996</v>
      </c>
      <c r="G19" s="1534">
        <v>5733945</v>
      </c>
      <c r="I19" s="1534">
        <v>5477886</v>
      </c>
      <c r="K19" s="1534">
        <v>5288352</v>
      </c>
      <c r="M19" s="1535"/>
    </row>
    <row r="20" spans="1:13" s="148" customFormat="1" x14ac:dyDescent="0.2">
      <c r="A20" s="144" t="s">
        <v>2875</v>
      </c>
      <c r="B20" s="145"/>
      <c r="C20" s="104">
        <v>88</v>
      </c>
      <c r="D20" s="106"/>
      <c r="E20" s="104">
        <v>76</v>
      </c>
      <c r="G20" s="104">
        <v>73</v>
      </c>
      <c r="I20" s="104">
        <v>69</v>
      </c>
      <c r="K20" s="104">
        <v>62</v>
      </c>
      <c r="M20" s="104"/>
    </row>
    <row r="21" spans="1:13" s="148" customFormat="1" x14ac:dyDescent="0.2">
      <c r="A21" s="211" t="s">
        <v>2879</v>
      </c>
      <c r="B21" s="145"/>
      <c r="C21" s="104"/>
      <c r="D21" s="106"/>
      <c r="E21" s="106"/>
      <c r="M21" s="106"/>
    </row>
    <row r="22" spans="1:13" s="148" customFormat="1" x14ac:dyDescent="0.2">
      <c r="A22" s="144" t="s">
        <v>2873</v>
      </c>
      <c r="B22" s="145"/>
      <c r="C22" s="1533">
        <v>27641428858</v>
      </c>
      <c r="D22" s="106"/>
      <c r="E22" s="1533">
        <v>29352387629.18</v>
      </c>
      <c r="G22" s="1534">
        <v>28586320146</v>
      </c>
      <c r="I22" s="1534">
        <v>29851378219</v>
      </c>
      <c r="K22" s="1534">
        <v>30454376059</v>
      </c>
      <c r="M22" s="1535"/>
    </row>
    <row r="23" spans="1:13" s="148" customFormat="1" x14ac:dyDescent="0.2">
      <c r="A23" s="144" t="s">
        <v>2880</v>
      </c>
      <c r="B23" s="145"/>
      <c r="C23" s="848">
        <v>261171</v>
      </c>
      <c r="D23" s="106"/>
      <c r="E23" s="848">
        <v>258874</v>
      </c>
      <c r="G23" s="1536">
        <v>251003</v>
      </c>
      <c r="I23" s="1536">
        <v>254334</v>
      </c>
      <c r="K23" s="1536">
        <v>249878</v>
      </c>
      <c r="M23" s="1537"/>
    </row>
    <row r="24" spans="1:13" s="148" customFormat="1" x14ac:dyDescent="0.2">
      <c r="A24" s="150" t="s">
        <v>2881</v>
      </c>
      <c r="B24" s="145"/>
      <c r="C24" s="848">
        <v>69303</v>
      </c>
      <c r="D24" s="106"/>
      <c r="E24" s="848">
        <v>68799</v>
      </c>
      <c r="G24" s="1536">
        <v>66953</v>
      </c>
      <c r="I24" s="1536">
        <v>67219</v>
      </c>
      <c r="K24" s="1536">
        <v>65675</v>
      </c>
      <c r="M24" s="1537"/>
    </row>
    <row r="25" spans="1:13" s="148" customFormat="1" x14ac:dyDescent="0.2">
      <c r="A25" s="150" t="s">
        <v>2882</v>
      </c>
      <c r="B25" s="145"/>
      <c r="C25" s="848">
        <v>10088</v>
      </c>
      <c r="D25" s="106"/>
      <c r="E25" s="848">
        <v>10353</v>
      </c>
      <c r="G25" s="1536">
        <v>9837</v>
      </c>
      <c r="I25" s="1536">
        <v>10358</v>
      </c>
      <c r="K25" s="1536">
        <v>10363</v>
      </c>
      <c r="M25" s="848"/>
    </row>
    <row r="26" spans="1:13" s="148" customFormat="1" x14ac:dyDescent="0.2">
      <c r="A26" s="150" t="s">
        <v>614</v>
      </c>
      <c r="B26" s="145"/>
      <c r="C26" s="848">
        <v>181780</v>
      </c>
      <c r="D26" s="106"/>
      <c r="E26" s="848">
        <v>179722</v>
      </c>
      <c r="G26" s="1536">
        <v>174213</v>
      </c>
      <c r="I26" s="1536">
        <v>176757</v>
      </c>
      <c r="K26" s="1536">
        <v>173840</v>
      </c>
      <c r="M26" s="1537"/>
    </row>
    <row r="27" spans="1:13" s="148" customFormat="1" x14ac:dyDescent="0.2">
      <c r="A27" s="144" t="s">
        <v>2875</v>
      </c>
      <c r="B27" s="145"/>
      <c r="C27" s="848">
        <v>169020</v>
      </c>
      <c r="D27" s="106"/>
      <c r="E27" s="848">
        <v>173391</v>
      </c>
      <c r="G27" s="1536">
        <v>179906</v>
      </c>
      <c r="I27" s="1536">
        <v>178783</v>
      </c>
      <c r="K27" s="1536">
        <v>184344</v>
      </c>
      <c r="M27" s="848"/>
    </row>
    <row r="28" spans="1:13" s="148" customFormat="1" x14ac:dyDescent="0.2">
      <c r="A28" s="144" t="s">
        <v>2876</v>
      </c>
      <c r="B28" s="145"/>
      <c r="C28" s="1533">
        <v>3416130678</v>
      </c>
      <c r="D28" s="106"/>
      <c r="E28" s="1533">
        <v>3587215468</v>
      </c>
      <c r="G28" s="1534">
        <v>3812900179</v>
      </c>
      <c r="I28" s="1534">
        <v>3781355569</v>
      </c>
      <c r="K28" s="1534">
        <v>3986002532</v>
      </c>
      <c r="M28" s="1535"/>
    </row>
    <row r="29" spans="1:13" s="148" customFormat="1" x14ac:dyDescent="0.2">
      <c r="A29" s="144" t="s">
        <v>2877</v>
      </c>
      <c r="B29" s="145"/>
      <c r="C29" s="1533">
        <v>133658073</v>
      </c>
      <c r="D29" s="106"/>
      <c r="E29" s="1533">
        <v>137987270.97</v>
      </c>
      <c r="G29" s="1534">
        <v>144403372</v>
      </c>
      <c r="I29" s="1534">
        <v>145849786</v>
      </c>
      <c r="K29" s="1534">
        <v>154160306</v>
      </c>
      <c r="M29" s="1535"/>
    </row>
    <row r="30" spans="1:13" s="148" customFormat="1" x14ac:dyDescent="0.2">
      <c r="A30" s="211" t="s">
        <v>2883</v>
      </c>
      <c r="B30" s="145"/>
      <c r="C30" s="106"/>
      <c r="D30" s="106"/>
      <c r="E30" s="106"/>
      <c r="M30" s="106"/>
    </row>
    <row r="31" spans="1:13" s="148" customFormat="1" x14ac:dyDescent="0.2">
      <c r="A31" s="144" t="s">
        <v>2873</v>
      </c>
      <c r="B31" s="145"/>
      <c r="C31" s="1533">
        <v>1712863812</v>
      </c>
      <c r="D31" s="106"/>
      <c r="E31" s="1533">
        <v>1778413252.3000002</v>
      </c>
      <c r="G31" s="1534">
        <v>1731200191</v>
      </c>
      <c r="I31" s="1534">
        <v>1798865005</v>
      </c>
      <c r="K31" s="1534">
        <v>1835741737</v>
      </c>
      <c r="M31" s="1535"/>
    </row>
    <row r="32" spans="1:13" s="148" customFormat="1" x14ac:dyDescent="0.2">
      <c r="A32" s="144" t="s">
        <v>2880</v>
      </c>
      <c r="B32" s="145"/>
      <c r="C32" s="848">
        <v>2746</v>
      </c>
      <c r="D32" s="106"/>
      <c r="E32" s="848">
        <v>2831</v>
      </c>
      <c r="G32" s="848">
        <v>2934</v>
      </c>
      <c r="I32" s="848">
        <v>2745</v>
      </c>
      <c r="K32" s="1536">
        <v>2825</v>
      </c>
      <c r="M32" s="1537"/>
    </row>
    <row r="33" spans="1:13" s="148" customFormat="1" x14ac:dyDescent="0.2">
      <c r="A33" s="150" t="s">
        <v>2884</v>
      </c>
      <c r="B33" s="145"/>
      <c r="C33" s="1120">
        <v>2655</v>
      </c>
      <c r="D33" s="106"/>
      <c r="E33" s="848">
        <v>2623</v>
      </c>
      <c r="G33" s="1142">
        <v>2843</v>
      </c>
      <c r="I33" s="1142">
        <v>2680</v>
      </c>
      <c r="K33" s="1536">
        <v>2760</v>
      </c>
      <c r="M33" s="1537"/>
    </row>
    <row r="34" spans="1:13" s="148" customFormat="1" x14ac:dyDescent="0.2">
      <c r="A34" s="150" t="s">
        <v>2885</v>
      </c>
      <c r="B34" s="145"/>
      <c r="C34" s="848">
        <v>91</v>
      </c>
      <c r="D34" s="106"/>
      <c r="E34" s="848">
        <v>208</v>
      </c>
      <c r="G34" s="848">
        <v>91</v>
      </c>
      <c r="I34" s="848">
        <v>65</v>
      </c>
      <c r="K34" s="1536">
        <v>65</v>
      </c>
      <c r="M34" s="1537"/>
    </row>
    <row r="35" spans="1:13" s="148" customFormat="1" x14ac:dyDescent="0.2">
      <c r="A35" s="144" t="s">
        <v>2875</v>
      </c>
      <c r="B35" s="145"/>
      <c r="C35" s="848">
        <v>3552</v>
      </c>
      <c r="D35" s="106"/>
      <c r="E35" s="848">
        <v>3584</v>
      </c>
      <c r="G35" s="848">
        <v>3772</v>
      </c>
      <c r="I35" s="848">
        <v>3648</v>
      </c>
      <c r="K35" s="1536">
        <v>3714</v>
      </c>
      <c r="M35" s="1537"/>
    </row>
    <row r="36" spans="1:13" s="148" customFormat="1" x14ac:dyDescent="0.2">
      <c r="A36" s="144" t="s">
        <v>2876</v>
      </c>
      <c r="B36" s="145"/>
      <c r="C36" s="1533">
        <v>211451186</v>
      </c>
      <c r="D36" s="106"/>
      <c r="E36" s="1533">
        <v>215243453.47999999</v>
      </c>
      <c r="G36" s="1534">
        <v>236248386</v>
      </c>
      <c r="I36" s="1534">
        <v>221907391</v>
      </c>
      <c r="K36" s="1534">
        <v>228777644</v>
      </c>
      <c r="M36" s="1535"/>
    </row>
    <row r="37" spans="1:13" s="148" customFormat="1" x14ac:dyDescent="0.2">
      <c r="A37" s="144" t="s">
        <v>2877</v>
      </c>
      <c r="B37" s="145"/>
      <c r="C37" s="1533">
        <v>1855541</v>
      </c>
      <c r="D37" s="106"/>
      <c r="E37" s="1533">
        <v>1968614</v>
      </c>
      <c r="G37" s="1534">
        <v>1839000</v>
      </c>
      <c r="I37" s="1534">
        <v>1719000</v>
      </c>
      <c r="K37" s="1534">
        <v>2000000</v>
      </c>
      <c r="M37" s="1535"/>
    </row>
    <row r="38" spans="1:13" s="148" customFormat="1" x14ac:dyDescent="0.2">
      <c r="A38" s="211" t="s">
        <v>2886</v>
      </c>
      <c r="B38" s="145"/>
      <c r="C38" s="106"/>
      <c r="D38" s="106"/>
      <c r="E38" s="106"/>
      <c r="M38" s="106"/>
    </row>
    <row r="39" spans="1:13" s="148" customFormat="1" x14ac:dyDescent="0.2">
      <c r="A39" s="144" t="s">
        <v>2873</v>
      </c>
      <c r="B39" s="145"/>
      <c r="C39" s="1533">
        <v>24190435775</v>
      </c>
      <c r="D39" s="106"/>
      <c r="E39" s="1533">
        <v>26055108759.799999</v>
      </c>
      <c r="G39" s="1534">
        <v>25888348916</v>
      </c>
      <c r="I39" s="1534">
        <v>26982670632</v>
      </c>
      <c r="K39" s="1534">
        <v>27959443309</v>
      </c>
      <c r="M39" s="1535"/>
    </row>
    <row r="40" spans="1:13" s="148" customFormat="1" x14ac:dyDescent="0.2">
      <c r="A40" s="144" t="s">
        <v>2880</v>
      </c>
      <c r="B40" s="145"/>
      <c r="C40" s="848">
        <v>42036</v>
      </c>
      <c r="D40" s="106"/>
      <c r="E40" s="848">
        <v>42765</v>
      </c>
      <c r="G40" s="848">
        <v>42542</v>
      </c>
      <c r="I40" s="848">
        <v>43333</v>
      </c>
      <c r="K40" s="1536">
        <v>43914</v>
      </c>
      <c r="M40" s="891"/>
    </row>
    <row r="41" spans="1:13" s="148" customFormat="1" x14ac:dyDescent="0.2">
      <c r="A41" s="150" t="s">
        <v>2881</v>
      </c>
      <c r="B41" s="145"/>
      <c r="C41" s="848">
        <v>6624</v>
      </c>
      <c r="D41" s="106"/>
      <c r="E41" s="848">
        <v>6802</v>
      </c>
      <c r="G41" s="848">
        <v>6475</v>
      </c>
      <c r="I41" s="848">
        <v>6818</v>
      </c>
      <c r="K41" s="1536">
        <v>6834</v>
      </c>
      <c r="M41" s="1537"/>
    </row>
    <row r="42" spans="1:13" s="148" customFormat="1" x14ac:dyDescent="0.2">
      <c r="A42" s="150" t="s">
        <v>2882</v>
      </c>
      <c r="B42" s="145"/>
      <c r="C42" s="848">
        <v>560</v>
      </c>
      <c r="D42" s="106"/>
      <c r="E42" s="848">
        <v>567</v>
      </c>
      <c r="G42" s="848">
        <v>688</v>
      </c>
      <c r="I42" s="848">
        <v>627</v>
      </c>
      <c r="K42" s="1536">
        <v>693</v>
      </c>
      <c r="M42" s="1537"/>
    </row>
    <row r="43" spans="1:13" s="148" customFormat="1" x14ac:dyDescent="0.2">
      <c r="A43" s="150" t="s">
        <v>614</v>
      </c>
      <c r="B43" s="145"/>
      <c r="C43" s="848">
        <v>34852</v>
      </c>
      <c r="D43" s="106"/>
      <c r="E43" s="848">
        <v>35396</v>
      </c>
      <c r="G43" s="995">
        <v>35379</v>
      </c>
      <c r="I43" s="995">
        <v>35888</v>
      </c>
      <c r="K43" s="1536">
        <v>36387</v>
      </c>
      <c r="M43" s="891"/>
    </row>
    <row r="44" spans="1:13" s="148" customFormat="1" x14ac:dyDescent="0.2">
      <c r="A44" s="144" t="s">
        <v>2875</v>
      </c>
      <c r="B44" s="145"/>
      <c r="C44" s="891">
        <v>45417</v>
      </c>
      <c r="D44" s="106"/>
      <c r="E44" s="891">
        <v>46428</v>
      </c>
      <c r="G44" s="1538">
        <v>48611</v>
      </c>
      <c r="I44" s="1538">
        <v>47849</v>
      </c>
      <c r="K44" s="1536">
        <v>49313</v>
      </c>
      <c r="M44" s="891"/>
    </row>
    <row r="45" spans="1:13" s="148" customFormat="1" x14ac:dyDescent="0.2">
      <c r="A45" s="144" t="s">
        <v>2876</v>
      </c>
      <c r="B45" s="145"/>
      <c r="C45" s="1533">
        <v>2277762983</v>
      </c>
      <c r="D45" s="106"/>
      <c r="E45" s="1533">
        <v>2374959072.3000002</v>
      </c>
      <c r="G45" s="1534">
        <v>2548617178</v>
      </c>
      <c r="I45" s="1534">
        <v>2492685794</v>
      </c>
      <c r="K45" s="1534">
        <v>2616248228</v>
      </c>
      <c r="M45" s="1535"/>
    </row>
    <row r="46" spans="1:13" s="148" customFormat="1" ht="13.7" customHeight="1" x14ac:dyDescent="0.2">
      <c r="A46" s="144" t="s">
        <v>2877</v>
      </c>
      <c r="B46" s="145"/>
      <c r="C46" s="1533">
        <v>38372031</v>
      </c>
      <c r="D46" s="106"/>
      <c r="E46" s="1533">
        <v>38969665</v>
      </c>
      <c r="G46" s="1534">
        <v>40479976</v>
      </c>
      <c r="I46" s="1534">
        <v>40380367</v>
      </c>
      <c r="K46" s="1534">
        <v>41842136</v>
      </c>
      <c r="M46" s="1535"/>
    </row>
    <row r="47" spans="1:13" s="148" customFormat="1" x14ac:dyDescent="0.2">
      <c r="A47" s="211" t="s">
        <v>2887</v>
      </c>
      <c r="B47" s="145"/>
      <c r="C47" s="106"/>
      <c r="D47" s="106"/>
      <c r="E47" s="106"/>
      <c r="M47" s="106"/>
    </row>
    <row r="48" spans="1:13" s="148" customFormat="1" x14ac:dyDescent="0.2">
      <c r="A48" s="144" t="s">
        <v>2888</v>
      </c>
      <c r="B48" s="145"/>
      <c r="C48" s="43">
        <v>27872</v>
      </c>
      <c r="D48" s="106"/>
      <c r="E48" s="848">
        <v>27566</v>
      </c>
      <c r="G48" s="43">
        <v>29027</v>
      </c>
      <c r="I48" s="43">
        <v>27579</v>
      </c>
      <c r="K48" s="1536">
        <v>27846</v>
      </c>
      <c r="M48" s="848"/>
    </row>
    <row r="49" spans="1:18" s="148" customFormat="1" x14ac:dyDescent="0.2">
      <c r="A49" s="150" t="s">
        <v>10</v>
      </c>
      <c r="B49" s="145"/>
      <c r="C49" s="639">
        <v>25044</v>
      </c>
      <c r="D49" s="106"/>
      <c r="E49" s="848">
        <v>24815</v>
      </c>
      <c r="G49" s="1036">
        <v>26250.280323360003</v>
      </c>
      <c r="I49" s="1036">
        <v>24978</v>
      </c>
      <c r="K49" s="1536">
        <v>25303</v>
      </c>
      <c r="M49" s="1537"/>
      <c r="R49" s="1054"/>
    </row>
    <row r="50" spans="1:18" s="148" customFormat="1" x14ac:dyDescent="0.2">
      <c r="A50" s="150" t="s">
        <v>2889</v>
      </c>
      <c r="B50" s="145"/>
      <c r="C50" s="639">
        <v>2828</v>
      </c>
      <c r="D50" s="106"/>
      <c r="E50" s="848">
        <v>2751</v>
      </c>
      <c r="G50" s="1036">
        <v>2776.7645866799999</v>
      </c>
      <c r="I50" s="1036">
        <v>2601</v>
      </c>
      <c r="K50" s="1536">
        <v>2543</v>
      </c>
      <c r="M50" s="1537"/>
    </row>
    <row r="51" spans="1:18" s="148" customFormat="1" x14ac:dyDescent="0.2">
      <c r="A51" s="211" t="s">
        <v>2890</v>
      </c>
      <c r="B51" s="145"/>
      <c r="C51" s="827"/>
      <c r="D51" s="106"/>
      <c r="E51" s="106"/>
      <c r="G51" s="902"/>
      <c r="I51" s="902"/>
      <c r="M51" s="106"/>
    </row>
    <row r="52" spans="1:18" s="148" customFormat="1" x14ac:dyDescent="0.2">
      <c r="A52" s="144" t="s">
        <v>2888</v>
      </c>
      <c r="B52" s="145"/>
      <c r="C52" s="1120">
        <v>41364</v>
      </c>
      <c r="D52" s="106"/>
      <c r="E52" s="848">
        <v>44836</v>
      </c>
      <c r="G52" s="1120">
        <v>54824</v>
      </c>
      <c r="I52" s="1120">
        <v>54625.188988500006</v>
      </c>
      <c r="K52" s="1536">
        <v>56919.446926017008</v>
      </c>
      <c r="M52" s="848"/>
    </row>
    <row r="53" spans="1:18" s="148" customFormat="1" x14ac:dyDescent="0.2">
      <c r="A53" s="150" t="s">
        <v>10</v>
      </c>
      <c r="B53" s="145"/>
      <c r="C53" s="1120">
        <v>3307</v>
      </c>
      <c r="D53" s="106"/>
      <c r="E53" s="848">
        <v>3571</v>
      </c>
      <c r="G53" s="1142">
        <v>4385</v>
      </c>
      <c r="I53" s="1142">
        <v>4038.8009999999999</v>
      </c>
      <c r="K53" s="1536">
        <v>4208.4306420000003</v>
      </c>
      <c r="M53" s="1537"/>
      <c r="O53" s="1054"/>
      <c r="P53" s="1054"/>
      <c r="Q53" s="1054"/>
      <c r="R53" s="1054"/>
    </row>
    <row r="54" spans="1:18" s="148" customFormat="1" x14ac:dyDescent="0.2">
      <c r="A54" s="150" t="s">
        <v>614</v>
      </c>
      <c r="B54" s="145"/>
      <c r="C54" s="1120">
        <v>38057</v>
      </c>
      <c r="D54" s="106"/>
      <c r="E54" s="848">
        <v>41265</v>
      </c>
      <c r="G54" s="1142">
        <v>50438.777711530027</v>
      </c>
      <c r="I54" s="1142">
        <v>50586.387988500006</v>
      </c>
      <c r="K54" s="1536">
        <v>52711.016284017009</v>
      </c>
      <c r="M54" s="1537"/>
    </row>
    <row r="55" spans="1:18" s="148" customFormat="1" x14ac:dyDescent="0.2">
      <c r="A55" s="211" t="s">
        <v>2891</v>
      </c>
      <c r="B55" s="145"/>
      <c r="C55" s="106"/>
      <c r="D55" s="106"/>
      <c r="E55" s="106"/>
      <c r="M55" s="106"/>
    </row>
    <row r="56" spans="1:18" s="148" customFormat="1" x14ac:dyDescent="0.2">
      <c r="A56" s="144" t="s">
        <v>2873</v>
      </c>
      <c r="B56" s="145"/>
      <c r="C56" s="1533">
        <v>23299606131</v>
      </c>
      <c r="D56" s="106"/>
      <c r="E56" s="1533">
        <v>23638788804.370003</v>
      </c>
      <c r="G56" s="1534">
        <v>22842270729</v>
      </c>
      <c r="I56" s="1534">
        <v>23589147348</v>
      </c>
      <c r="K56" s="1534">
        <v>23832115566</v>
      </c>
      <c r="M56" s="1535"/>
    </row>
    <row r="57" spans="1:18" s="148" customFormat="1" x14ac:dyDescent="0.2">
      <c r="A57" s="144" t="s">
        <v>2880</v>
      </c>
      <c r="B57" s="145"/>
      <c r="C57" s="848">
        <v>155880</v>
      </c>
      <c r="D57" s="106"/>
      <c r="E57" s="848">
        <v>156970</v>
      </c>
      <c r="G57" s="848">
        <v>157525</v>
      </c>
      <c r="I57" s="848">
        <v>157812</v>
      </c>
      <c r="K57" s="1536">
        <v>158659</v>
      </c>
      <c r="M57" s="891"/>
    </row>
    <row r="58" spans="1:18" s="148" customFormat="1" x14ac:dyDescent="0.2">
      <c r="A58" s="150" t="s">
        <v>10</v>
      </c>
      <c r="B58" s="145"/>
      <c r="C58" s="848">
        <v>129</v>
      </c>
      <c r="D58" s="106"/>
      <c r="E58" s="848">
        <v>118</v>
      </c>
      <c r="G58" s="1536">
        <v>110</v>
      </c>
      <c r="I58" s="1536">
        <v>109</v>
      </c>
      <c r="K58" s="1536">
        <v>100</v>
      </c>
      <c r="M58" s="1537"/>
    </row>
    <row r="59" spans="1:18" s="148" customFormat="1" x14ac:dyDescent="0.2">
      <c r="A59" s="150" t="s">
        <v>2889</v>
      </c>
      <c r="B59" s="145"/>
      <c r="C59" s="848">
        <v>20</v>
      </c>
      <c r="D59" s="106"/>
      <c r="E59" s="848">
        <v>19</v>
      </c>
      <c r="G59" s="1536">
        <v>18</v>
      </c>
      <c r="I59" s="1536">
        <v>18</v>
      </c>
      <c r="K59" s="1536">
        <v>17</v>
      </c>
      <c r="M59" s="848"/>
    </row>
    <row r="60" spans="1:18" s="148" customFormat="1" x14ac:dyDescent="0.2">
      <c r="A60" s="150" t="s">
        <v>614</v>
      </c>
      <c r="B60" s="145"/>
      <c r="C60" s="848">
        <v>155731</v>
      </c>
      <c r="D60" s="106"/>
      <c r="E60" s="848">
        <v>156833</v>
      </c>
      <c r="G60" s="1536">
        <v>157397</v>
      </c>
      <c r="I60" s="1536">
        <v>157685</v>
      </c>
      <c r="K60" s="1536">
        <v>158542</v>
      </c>
      <c r="M60" s="848"/>
    </row>
    <row r="61" spans="1:18" s="148" customFormat="1" x14ac:dyDescent="0.2">
      <c r="A61" s="144" t="s">
        <v>2875</v>
      </c>
      <c r="B61" s="145"/>
      <c r="C61" s="848">
        <v>101097</v>
      </c>
      <c r="D61" s="106"/>
      <c r="E61" s="848">
        <v>103387</v>
      </c>
      <c r="G61" s="1536">
        <v>107991</v>
      </c>
      <c r="I61" s="1536">
        <v>106475</v>
      </c>
      <c r="K61" s="1536">
        <v>109655</v>
      </c>
      <c r="M61" s="1537"/>
    </row>
    <row r="62" spans="1:18" s="148" customFormat="1" x14ac:dyDescent="0.2">
      <c r="A62" s="144" t="s">
        <v>2876</v>
      </c>
      <c r="B62" s="145"/>
      <c r="C62" s="1533">
        <v>4075562467</v>
      </c>
      <c r="D62" s="106"/>
      <c r="E62" s="1533">
        <v>4198977287.3200002</v>
      </c>
      <c r="G62" s="1534">
        <v>4438992311</v>
      </c>
      <c r="I62" s="1534">
        <v>4358412455</v>
      </c>
      <c r="K62" s="1534">
        <v>4523901376</v>
      </c>
      <c r="M62" s="1535"/>
    </row>
    <row r="63" spans="1:18" s="148" customFormat="1" x14ac:dyDescent="0.2">
      <c r="A63" s="144" t="s">
        <v>2877</v>
      </c>
      <c r="B63" s="145"/>
      <c r="C63" s="1533">
        <v>77475528</v>
      </c>
      <c r="D63" s="106"/>
      <c r="E63" s="1533">
        <v>82617540.969999999</v>
      </c>
      <c r="G63" s="1534">
        <v>83263370</v>
      </c>
      <c r="I63" s="1534">
        <v>85912329</v>
      </c>
      <c r="K63" s="1534">
        <v>89338512</v>
      </c>
      <c r="M63" s="1535"/>
    </row>
    <row r="64" spans="1:18" s="148" customFormat="1" x14ac:dyDescent="0.2">
      <c r="A64" s="1539" t="s">
        <v>2892</v>
      </c>
      <c r="B64" s="145"/>
      <c r="C64" s="106"/>
      <c r="D64" s="106"/>
      <c r="E64" s="106"/>
      <c r="M64" s="106"/>
    </row>
    <row r="65" spans="1:17" s="148" customFormat="1" x14ac:dyDescent="0.2">
      <c r="A65" s="144" t="s">
        <v>2873</v>
      </c>
      <c r="B65" s="145"/>
      <c r="C65" s="1533">
        <v>2069358</v>
      </c>
      <c r="D65" s="106"/>
      <c r="E65" s="1533">
        <v>2053888.83</v>
      </c>
      <c r="G65" s="1534">
        <v>1511318</v>
      </c>
      <c r="I65" s="1534">
        <v>1713970</v>
      </c>
      <c r="K65" s="1534">
        <v>1426195</v>
      </c>
      <c r="M65" s="1535"/>
    </row>
    <row r="66" spans="1:17" s="148" customFormat="1" x14ac:dyDescent="0.2">
      <c r="A66" s="144" t="s">
        <v>2875</v>
      </c>
      <c r="B66" s="145"/>
      <c r="C66" s="848">
        <v>89</v>
      </c>
      <c r="D66" s="106"/>
      <c r="E66" s="848">
        <v>75</v>
      </c>
      <c r="G66" s="1536">
        <v>57</v>
      </c>
      <c r="I66" s="1536">
        <v>61</v>
      </c>
      <c r="K66" s="1536">
        <v>49</v>
      </c>
      <c r="M66" s="1537"/>
    </row>
    <row r="67" spans="1:17" s="148" customFormat="1" x14ac:dyDescent="0.2">
      <c r="A67" s="144" t="s">
        <v>2876</v>
      </c>
      <c r="B67" s="145"/>
      <c r="C67" s="1533">
        <v>1881251</v>
      </c>
      <c r="D67" s="106"/>
      <c r="E67" s="1533">
        <v>1535622.99</v>
      </c>
      <c r="G67" s="1534">
        <v>1162558</v>
      </c>
      <c r="I67" s="1534">
        <v>1237083</v>
      </c>
      <c r="K67" s="1534">
        <v>996581</v>
      </c>
      <c r="M67" s="1535"/>
    </row>
    <row r="68" spans="1:17" s="148" customFormat="1" x14ac:dyDescent="0.2">
      <c r="A68" s="211" t="s">
        <v>2893</v>
      </c>
      <c r="B68" s="145"/>
      <c r="C68" s="106"/>
      <c r="D68" s="106"/>
      <c r="E68" s="106"/>
      <c r="M68" s="106"/>
    </row>
    <row r="69" spans="1:17" s="148" customFormat="1" x14ac:dyDescent="0.2">
      <c r="A69" s="144" t="s">
        <v>2894</v>
      </c>
      <c r="B69" s="145"/>
      <c r="C69" s="43">
        <v>397624</v>
      </c>
      <c r="D69" s="106"/>
      <c r="E69" s="43">
        <v>396328</v>
      </c>
      <c r="G69" s="44">
        <v>395596</v>
      </c>
      <c r="I69" s="43">
        <v>391227</v>
      </c>
      <c r="K69" s="43">
        <v>385043</v>
      </c>
      <c r="M69" s="1540"/>
      <c r="N69" s="1540"/>
    </row>
    <row r="70" spans="1:17" s="148" customFormat="1" x14ac:dyDescent="0.2">
      <c r="A70" s="150" t="s">
        <v>10</v>
      </c>
      <c r="B70" s="145"/>
      <c r="C70" s="43">
        <v>140918</v>
      </c>
      <c r="D70" s="106"/>
      <c r="E70" s="43">
        <v>141659</v>
      </c>
      <c r="G70" s="44">
        <v>142555</v>
      </c>
      <c r="I70" s="43">
        <v>140070</v>
      </c>
      <c r="K70" s="43">
        <v>140420</v>
      </c>
      <c r="M70" s="1537"/>
    </row>
    <row r="71" spans="1:17" s="148" customFormat="1" x14ac:dyDescent="0.2">
      <c r="A71" s="150" t="s">
        <v>614</v>
      </c>
      <c r="B71" s="145"/>
      <c r="C71" s="43">
        <v>256706</v>
      </c>
      <c r="D71" s="104"/>
      <c r="E71" s="43">
        <v>254669</v>
      </c>
      <c r="G71" s="43">
        <v>253041</v>
      </c>
      <c r="I71" s="43">
        <v>251157</v>
      </c>
      <c r="K71" s="43">
        <v>244623</v>
      </c>
      <c r="M71" s="1537"/>
    </row>
    <row r="72" spans="1:17" s="142" customFormat="1" x14ac:dyDescent="0.2">
      <c r="A72" s="139"/>
      <c r="B72" s="140"/>
      <c r="M72" s="886"/>
    </row>
    <row r="73" spans="1:17" s="225" customFormat="1" x14ac:dyDescent="0.2">
      <c r="A73" s="1217"/>
      <c r="B73" s="222"/>
      <c r="M73" s="224"/>
    </row>
    <row r="74" spans="1:17" s="225" customFormat="1" x14ac:dyDescent="0.2">
      <c r="A74" s="226" t="s">
        <v>200</v>
      </c>
      <c r="B74" s="227"/>
      <c r="C74" s="230"/>
      <c r="D74" s="229"/>
      <c r="E74" s="230"/>
      <c r="F74" s="229"/>
      <c r="G74" s="230"/>
      <c r="H74" s="229"/>
      <c r="I74" s="230"/>
      <c r="J74" s="229"/>
      <c r="K74" s="230"/>
      <c r="L74" s="229"/>
      <c r="M74" s="228"/>
      <c r="N74" s="229"/>
    </row>
    <row r="75" spans="1:17" ht="27.95" customHeight="1" x14ac:dyDescent="0.2">
      <c r="A75" s="1756"/>
      <c r="B75" s="1736"/>
      <c r="C75" s="1737"/>
      <c r="D75" s="1736"/>
      <c r="E75" s="1737"/>
      <c r="F75" s="1736"/>
      <c r="G75" s="1737"/>
      <c r="H75" s="1736"/>
      <c r="I75" s="1737"/>
      <c r="J75" s="1736"/>
      <c r="K75" s="1737"/>
      <c r="L75" s="1736"/>
      <c r="M75" s="1737"/>
      <c r="N75" s="1736"/>
      <c r="O75" s="54"/>
      <c r="P75" s="54"/>
      <c r="Q75" s="951"/>
    </row>
    <row r="76" spans="1:17" ht="27.95" customHeight="1" x14ac:dyDescent="0.2">
      <c r="A76" s="1841"/>
      <c r="B76" s="1736"/>
      <c r="C76" s="1737"/>
      <c r="D76" s="1736"/>
      <c r="E76" s="1737"/>
      <c r="F76" s="1736"/>
      <c r="G76" s="1737"/>
      <c r="H76" s="1736"/>
      <c r="I76" s="1737"/>
      <c r="J76" s="1736"/>
      <c r="K76" s="1737"/>
      <c r="L76" s="1736"/>
      <c r="M76" s="1737"/>
      <c r="N76" s="1736"/>
      <c r="O76" s="54"/>
      <c r="P76" s="54"/>
    </row>
    <row r="77" spans="1:17" ht="27.95" customHeight="1" x14ac:dyDescent="0.2">
      <c r="A77" s="1841"/>
      <c r="B77" s="1736"/>
      <c r="C77" s="1737"/>
      <c r="D77" s="1736"/>
      <c r="E77" s="1737"/>
      <c r="F77" s="1736"/>
      <c r="G77" s="1737"/>
      <c r="H77" s="1736"/>
      <c r="I77" s="1737"/>
      <c r="J77" s="1736"/>
      <c r="K77" s="1737"/>
      <c r="L77" s="1736"/>
      <c r="M77" s="1737"/>
      <c r="N77" s="1736"/>
      <c r="O77" s="54"/>
      <c r="P77" s="54"/>
    </row>
    <row r="78" spans="1:17" ht="27.95" customHeight="1" x14ac:dyDescent="0.2">
      <c r="A78" s="1841"/>
      <c r="B78" s="1736"/>
      <c r="C78" s="1737"/>
      <c r="D78" s="1736"/>
      <c r="E78" s="1737"/>
      <c r="F78" s="1736"/>
      <c r="G78" s="1737"/>
      <c r="H78" s="1736"/>
      <c r="I78" s="1737"/>
      <c r="J78" s="1736"/>
      <c r="K78" s="1737"/>
      <c r="L78" s="1736"/>
      <c r="M78" s="1737"/>
      <c r="N78" s="1736"/>
      <c r="O78" s="54"/>
      <c r="P78" s="54"/>
    </row>
    <row r="79" spans="1:17" ht="27.95" customHeight="1" x14ac:dyDescent="0.2">
      <c r="A79" s="1841"/>
      <c r="B79" s="1736"/>
      <c r="C79" s="1737"/>
      <c r="D79" s="1736"/>
      <c r="E79" s="1737"/>
      <c r="F79" s="1736"/>
      <c r="G79" s="1737"/>
      <c r="H79" s="1736"/>
      <c r="I79" s="1737"/>
      <c r="J79" s="1736"/>
      <c r="K79" s="1737"/>
      <c r="L79" s="1736"/>
      <c r="M79" s="1737"/>
      <c r="N79" s="1736"/>
      <c r="O79" s="54"/>
      <c r="P79" s="54"/>
    </row>
    <row r="80" spans="1:17" ht="27.95" customHeight="1" x14ac:dyDescent="0.2">
      <c r="A80" s="1841"/>
      <c r="B80" s="1736"/>
      <c r="C80" s="1737"/>
      <c r="D80" s="1736"/>
      <c r="E80" s="1737"/>
      <c r="F80" s="1736"/>
      <c r="G80" s="1737"/>
      <c r="H80" s="1736"/>
      <c r="I80" s="1737"/>
      <c r="J80" s="1736"/>
      <c r="K80" s="1737"/>
      <c r="L80" s="1736"/>
      <c r="M80" s="1737"/>
      <c r="N80" s="1736"/>
      <c r="O80" s="54"/>
      <c r="P80" s="54"/>
    </row>
    <row r="81" spans="1:17" ht="27.95" customHeight="1" x14ac:dyDescent="0.2">
      <c r="A81" s="1841"/>
      <c r="B81" s="1736"/>
      <c r="C81" s="1737"/>
      <c r="D81" s="1736"/>
      <c r="E81" s="1737"/>
      <c r="F81" s="1736"/>
      <c r="G81" s="1737"/>
      <c r="H81" s="1736"/>
      <c r="I81" s="1737"/>
      <c r="J81" s="1736"/>
      <c r="K81" s="1737"/>
      <c r="L81" s="1736"/>
      <c r="M81" s="1737"/>
      <c r="N81" s="1736"/>
      <c r="O81" s="54"/>
      <c r="P81" s="54"/>
    </row>
    <row r="82" spans="1:17" ht="27.95" customHeight="1" x14ac:dyDescent="0.2">
      <c r="A82" s="1841"/>
      <c r="B82" s="1736"/>
      <c r="C82" s="1737"/>
      <c r="D82" s="1736"/>
      <c r="E82" s="1737"/>
      <c r="F82" s="1736"/>
      <c r="G82" s="1737"/>
      <c r="H82" s="1736"/>
      <c r="I82" s="1737"/>
      <c r="J82" s="1736"/>
      <c r="K82" s="1737"/>
      <c r="L82" s="1736"/>
      <c r="M82" s="1737"/>
      <c r="N82" s="1736"/>
      <c r="O82" s="54"/>
      <c r="P82" s="54"/>
    </row>
    <row r="83" spans="1:17" ht="27.95" customHeight="1" x14ac:dyDescent="0.2">
      <c r="A83" s="1841"/>
      <c r="B83" s="1736"/>
      <c r="C83" s="1737"/>
      <c r="D83" s="1736"/>
      <c r="E83" s="1737"/>
      <c r="F83" s="1736"/>
      <c r="G83" s="1737"/>
      <c r="H83" s="1736"/>
      <c r="I83" s="1737"/>
      <c r="J83" s="1736"/>
      <c r="K83" s="1737"/>
      <c r="L83" s="1736"/>
      <c r="M83" s="1737"/>
      <c r="N83" s="1736"/>
      <c r="O83" s="54"/>
      <c r="P83" s="54"/>
    </row>
    <row r="84" spans="1:17" ht="27.95" customHeight="1" x14ac:dyDescent="0.2">
      <c r="A84" s="1841"/>
      <c r="B84" s="1736"/>
      <c r="C84" s="1737"/>
      <c r="D84" s="1736"/>
      <c r="E84" s="1737"/>
      <c r="F84" s="1736"/>
      <c r="G84" s="1737"/>
      <c r="H84" s="1736"/>
      <c r="I84" s="1737"/>
      <c r="J84" s="1736"/>
      <c r="K84" s="1737"/>
      <c r="L84" s="1736"/>
      <c r="M84" s="1737"/>
      <c r="N84" s="1736"/>
      <c r="O84" s="54"/>
      <c r="P84" s="54"/>
    </row>
    <row r="85" spans="1:17" x14ac:dyDescent="0.2">
      <c r="A85" s="1541"/>
      <c r="B85" s="54"/>
      <c r="C85" s="56"/>
      <c r="D85" s="54"/>
      <c r="E85" s="56"/>
      <c r="F85" s="54"/>
      <c r="G85" s="56"/>
      <c r="H85" s="54"/>
      <c r="I85" s="56"/>
      <c r="J85" s="54"/>
      <c r="K85" s="56"/>
      <c r="L85" s="54"/>
      <c r="M85" s="56"/>
      <c r="N85" s="54"/>
      <c r="O85" s="54"/>
      <c r="P85" s="54"/>
    </row>
    <row r="86" spans="1:17" x14ac:dyDescent="0.2">
      <c r="A86" s="1541"/>
      <c r="B86" s="54"/>
      <c r="C86" s="54"/>
      <c r="D86" s="54"/>
      <c r="E86" s="54"/>
      <c r="F86" s="54"/>
      <c r="G86" s="54"/>
      <c r="H86" s="54"/>
      <c r="I86" s="54"/>
      <c r="J86" s="54"/>
      <c r="K86" s="54"/>
      <c r="L86" s="54"/>
      <c r="M86" s="54"/>
      <c r="N86" s="54"/>
      <c r="O86" s="54"/>
      <c r="P86" s="54"/>
    </row>
    <row r="87" spans="1:17" x14ac:dyDescent="0.2">
      <c r="A87" s="1541"/>
      <c r="B87" s="54"/>
      <c r="C87" s="56"/>
      <c r="D87" s="54"/>
      <c r="E87" s="56"/>
      <c r="F87" s="54"/>
      <c r="G87" s="56"/>
      <c r="H87" s="54"/>
      <c r="I87" s="56"/>
      <c r="J87" s="54"/>
      <c r="K87" s="56"/>
      <c r="L87" s="54"/>
      <c r="M87" s="56"/>
      <c r="N87" s="54"/>
      <c r="O87" s="54"/>
      <c r="P87" s="54"/>
    </row>
    <row r="88" spans="1:17" x14ac:dyDescent="0.2">
      <c r="A88" s="1541"/>
      <c r="B88" s="54"/>
      <c r="C88" s="54"/>
      <c r="D88" s="54"/>
      <c r="E88" s="54"/>
      <c r="F88" s="54"/>
      <c r="G88" s="54"/>
      <c r="H88" s="54"/>
      <c r="I88" s="54"/>
      <c r="J88" s="54"/>
      <c r="K88" s="54"/>
      <c r="L88" s="54"/>
      <c r="M88" s="54"/>
      <c r="N88" s="54"/>
      <c r="O88" s="54"/>
      <c r="P88" s="54"/>
    </row>
    <row r="89" spans="1:17" x14ac:dyDescent="0.2">
      <c r="A89" s="1541"/>
      <c r="B89" s="54"/>
      <c r="C89" s="56"/>
      <c r="D89" s="54"/>
      <c r="E89" s="56"/>
      <c r="F89" s="54"/>
      <c r="G89" s="56"/>
      <c r="H89" s="54"/>
      <c r="I89" s="56"/>
      <c r="J89" s="54"/>
      <c r="K89" s="56"/>
      <c r="L89" s="54"/>
      <c r="M89" s="56"/>
      <c r="N89" s="54"/>
      <c r="O89" s="54"/>
      <c r="P89" s="54"/>
    </row>
    <row r="90" spans="1:17" x14ac:dyDescent="0.2">
      <c r="A90" s="1541"/>
      <c r="B90" s="54"/>
      <c r="C90" s="107"/>
      <c r="D90" s="54"/>
      <c r="E90" s="107"/>
      <c r="F90" s="54"/>
      <c r="G90" s="107"/>
      <c r="H90" s="54"/>
      <c r="I90" s="107"/>
      <c r="J90" s="54"/>
      <c r="K90" s="107"/>
      <c r="L90" s="54"/>
      <c r="M90" s="107"/>
      <c r="N90" s="54"/>
      <c r="O90" s="54"/>
      <c r="P90" s="54"/>
    </row>
    <row r="91" spans="1:17" x14ac:dyDescent="0.2">
      <c r="A91" s="1541"/>
      <c r="B91" s="54"/>
      <c r="C91" s="54"/>
      <c r="D91" s="54"/>
      <c r="E91" s="54"/>
      <c r="F91" s="54"/>
      <c r="G91" s="54"/>
      <c r="H91" s="54"/>
      <c r="I91" s="54"/>
      <c r="J91" s="54"/>
      <c r="K91" s="54"/>
      <c r="L91" s="54"/>
      <c r="M91" s="54"/>
      <c r="N91" s="54"/>
      <c r="O91" s="54"/>
      <c r="P91" s="54"/>
    </row>
    <row r="92" spans="1:17" x14ac:dyDescent="0.2">
      <c r="A92" s="1541"/>
      <c r="B92" s="54"/>
      <c r="C92" s="54"/>
      <c r="D92" s="54"/>
      <c r="E92" s="54"/>
      <c r="F92" s="54"/>
      <c r="G92" s="54"/>
      <c r="H92" s="54"/>
      <c r="I92" s="54"/>
      <c r="J92" s="54"/>
      <c r="K92" s="54"/>
      <c r="L92" s="54"/>
      <c r="M92" s="54"/>
      <c r="N92" s="54"/>
      <c r="O92" s="54"/>
      <c r="P92" s="54"/>
      <c r="Q92" s="1542"/>
    </row>
    <row r="93" spans="1:17" x14ac:dyDescent="0.2">
      <c r="B93" s="1208"/>
      <c r="C93" s="1208"/>
      <c r="D93" s="1208"/>
      <c r="E93" s="1238"/>
      <c r="F93" s="1238"/>
      <c r="G93" s="1238"/>
      <c r="H93" s="1238"/>
    </row>
    <row r="94" spans="1:17" x14ac:dyDescent="0.2">
      <c r="B94" s="1208"/>
      <c r="C94" s="1208"/>
      <c r="D94" s="1208"/>
      <c r="E94" s="1238"/>
      <c r="F94" s="1238"/>
      <c r="G94" s="1238"/>
      <c r="H94" s="1238"/>
    </row>
    <row r="95" spans="1:17" x14ac:dyDescent="0.2">
      <c r="B95" s="1208"/>
      <c r="C95" s="1208"/>
      <c r="D95" s="1208"/>
      <c r="E95" s="1238"/>
      <c r="F95" s="1238"/>
      <c r="G95" s="1238"/>
      <c r="H95" s="1238"/>
    </row>
    <row r="96" spans="1:17" x14ac:dyDescent="0.2">
      <c r="B96" s="1208"/>
      <c r="C96" s="1208"/>
      <c r="D96" s="1208"/>
      <c r="E96" s="1238"/>
      <c r="F96" s="1238"/>
      <c r="G96" s="1238"/>
      <c r="H96" s="1238"/>
    </row>
    <row r="97" spans="2:8" x14ac:dyDescent="0.2">
      <c r="B97" s="1208"/>
      <c r="C97" s="1208"/>
      <c r="D97" s="1208"/>
      <c r="E97" s="1238"/>
      <c r="F97" s="1238"/>
      <c r="G97" s="1238"/>
      <c r="H97" s="1238"/>
    </row>
    <row r="98" spans="2:8" x14ac:dyDescent="0.2">
      <c r="B98" s="1208"/>
      <c r="C98" s="1208"/>
      <c r="D98" s="1208"/>
      <c r="E98" s="1238"/>
      <c r="F98" s="1238"/>
      <c r="G98" s="1238"/>
      <c r="H98" s="1238"/>
    </row>
    <row r="99" spans="2:8" x14ac:dyDescent="0.2">
      <c r="B99" s="1208"/>
      <c r="C99" s="1208"/>
      <c r="D99" s="1208"/>
      <c r="E99" s="1238"/>
      <c r="F99" s="1238"/>
      <c r="G99" s="1238"/>
      <c r="H99" s="1238"/>
    </row>
    <row r="100" spans="2:8" x14ac:dyDescent="0.2">
      <c r="B100" s="1208"/>
      <c r="C100" s="1208"/>
      <c r="D100" s="1208"/>
      <c r="E100" s="1238"/>
      <c r="F100" s="1238"/>
      <c r="G100" s="1238"/>
      <c r="H100" s="1238"/>
    </row>
    <row r="101" spans="2:8" x14ac:dyDescent="0.2">
      <c r="B101" s="1208"/>
      <c r="C101" s="1208"/>
      <c r="D101" s="1208"/>
      <c r="E101" s="1238"/>
      <c r="F101" s="1238"/>
      <c r="G101" s="1238"/>
      <c r="H101" s="1238"/>
    </row>
    <row r="102" spans="2:8" x14ac:dyDescent="0.2">
      <c r="B102" s="1208"/>
      <c r="C102" s="1208"/>
      <c r="D102" s="1208"/>
      <c r="E102" s="1238"/>
      <c r="F102" s="1238"/>
      <c r="G102" s="1238"/>
      <c r="H102" s="1238"/>
    </row>
    <row r="103" spans="2:8" x14ac:dyDescent="0.2">
      <c r="B103" s="1208"/>
      <c r="C103" s="1208"/>
      <c r="D103" s="1208"/>
      <c r="E103" s="1238"/>
      <c r="F103" s="1238"/>
      <c r="G103" s="1238"/>
      <c r="H103" s="1238"/>
    </row>
    <row r="104" spans="2:8" x14ac:dyDescent="0.2">
      <c r="B104" s="1208"/>
      <c r="C104" s="1208"/>
      <c r="D104" s="1208"/>
      <c r="E104" s="1238"/>
      <c r="F104" s="1238"/>
      <c r="G104" s="1238"/>
      <c r="H104" s="1238"/>
    </row>
    <row r="105" spans="2:8" x14ac:dyDescent="0.2">
      <c r="B105" s="1208"/>
      <c r="C105" s="1208"/>
      <c r="D105" s="1208"/>
      <c r="E105" s="1238"/>
      <c r="F105" s="1238"/>
      <c r="G105" s="1238"/>
      <c r="H105" s="1238"/>
    </row>
    <row r="106" spans="2:8" x14ac:dyDescent="0.2">
      <c r="B106" s="1208"/>
      <c r="C106" s="1208"/>
      <c r="D106" s="1208"/>
      <c r="E106" s="1238"/>
      <c r="F106" s="1238"/>
      <c r="G106" s="1238"/>
      <c r="H106" s="1238"/>
    </row>
    <row r="107" spans="2:8" x14ac:dyDescent="0.2">
      <c r="B107" s="1208"/>
      <c r="C107" s="1208"/>
      <c r="D107" s="1208"/>
      <c r="E107" s="1238"/>
      <c r="F107" s="1238"/>
      <c r="G107" s="1238"/>
      <c r="H107" s="1238"/>
    </row>
    <row r="108" spans="2:8" x14ac:dyDescent="0.2">
      <c r="B108" s="1208"/>
      <c r="C108" s="1208"/>
      <c r="D108" s="1208"/>
      <c r="E108" s="1238"/>
      <c r="F108" s="1238"/>
      <c r="G108" s="1238"/>
      <c r="H108" s="1238"/>
    </row>
    <row r="109" spans="2:8" x14ac:dyDescent="0.2">
      <c r="B109" s="1208"/>
      <c r="C109" s="1208"/>
      <c r="D109" s="1208"/>
      <c r="E109" s="1238"/>
      <c r="F109" s="1238"/>
      <c r="G109" s="1238"/>
      <c r="H109" s="1238"/>
    </row>
    <row r="110" spans="2:8" x14ac:dyDescent="0.2">
      <c r="B110" s="1208"/>
      <c r="C110" s="1208"/>
      <c r="D110" s="1208"/>
      <c r="E110" s="1238"/>
      <c r="F110" s="1238"/>
      <c r="G110" s="1238"/>
      <c r="H110" s="1238"/>
    </row>
    <row r="111" spans="2:8" x14ac:dyDescent="0.2">
      <c r="B111" s="1208"/>
      <c r="C111" s="1208"/>
      <c r="D111" s="1208"/>
      <c r="E111" s="1238"/>
      <c r="F111" s="1238"/>
      <c r="G111" s="1238"/>
      <c r="H111" s="1238"/>
    </row>
    <row r="112" spans="2:8" x14ac:dyDescent="0.2">
      <c r="B112" s="1208"/>
      <c r="C112" s="1208"/>
      <c r="D112" s="1208"/>
      <c r="E112" s="1238"/>
      <c r="F112" s="1238"/>
      <c r="G112" s="1238"/>
      <c r="H112" s="1238"/>
    </row>
    <row r="113" spans="2:8" x14ac:dyDescent="0.2">
      <c r="B113" s="1208"/>
      <c r="C113" s="1208"/>
      <c r="D113" s="1208"/>
      <c r="E113" s="1238"/>
      <c r="F113" s="1238"/>
      <c r="G113" s="1238"/>
      <c r="H113" s="1238"/>
    </row>
    <row r="114" spans="2:8" x14ac:dyDescent="0.2">
      <c r="B114" s="1208"/>
      <c r="C114" s="1208"/>
      <c r="D114" s="1208"/>
      <c r="E114" s="1238"/>
      <c r="F114" s="1238"/>
      <c r="G114" s="1238"/>
      <c r="H114" s="1238"/>
    </row>
    <row r="115" spans="2:8" x14ac:dyDescent="0.2">
      <c r="B115" s="1208"/>
      <c r="C115" s="1208"/>
      <c r="D115" s="1208"/>
      <c r="E115" s="1238"/>
      <c r="F115" s="1238"/>
      <c r="G115" s="1238"/>
      <c r="H115" s="1238"/>
    </row>
    <row r="116" spans="2:8" x14ac:dyDescent="0.2">
      <c r="B116" s="1208"/>
      <c r="C116" s="1208"/>
      <c r="D116" s="1208"/>
      <c r="E116" s="1238"/>
      <c r="F116" s="1238"/>
      <c r="G116" s="1238"/>
      <c r="H116" s="1238"/>
    </row>
    <row r="117" spans="2:8" x14ac:dyDescent="0.2">
      <c r="B117" s="1208"/>
      <c r="C117" s="1208"/>
      <c r="D117" s="1208"/>
      <c r="E117" s="1238"/>
      <c r="F117" s="1238"/>
      <c r="G117" s="1238"/>
      <c r="H117" s="1238"/>
    </row>
    <row r="118" spans="2:8" x14ac:dyDescent="0.2">
      <c r="B118" s="1208"/>
      <c r="C118" s="1208"/>
      <c r="D118" s="1208"/>
      <c r="E118" s="1238"/>
      <c r="F118" s="1238"/>
      <c r="G118" s="1238"/>
      <c r="H118" s="1238"/>
    </row>
    <row r="119" spans="2:8" x14ac:dyDescent="0.2">
      <c r="B119" s="1208"/>
      <c r="C119" s="1208"/>
      <c r="D119" s="1208"/>
      <c r="E119" s="1238"/>
      <c r="F119" s="1238"/>
      <c r="G119" s="1238"/>
      <c r="H119" s="1238"/>
    </row>
    <row r="120" spans="2:8" x14ac:dyDescent="0.2">
      <c r="B120" s="1208"/>
      <c r="C120" s="1208"/>
      <c r="D120" s="1208"/>
      <c r="E120" s="1238"/>
      <c r="F120" s="1238"/>
      <c r="G120" s="1238"/>
      <c r="H120" s="1238"/>
    </row>
    <row r="121" spans="2:8" x14ac:dyDescent="0.2">
      <c r="B121" s="1208"/>
      <c r="C121" s="1208"/>
      <c r="D121" s="1208"/>
      <c r="E121" s="1238"/>
      <c r="F121" s="1238"/>
      <c r="G121" s="1238"/>
      <c r="H121" s="1238"/>
    </row>
    <row r="122" spans="2:8" x14ac:dyDescent="0.2">
      <c r="B122" s="1208"/>
    </row>
    <row r="123" spans="2:8" x14ac:dyDescent="0.2">
      <c r="B123" s="1208"/>
    </row>
    <row r="124" spans="2:8" x14ac:dyDescent="0.2">
      <c r="B124" s="1208"/>
    </row>
    <row r="125" spans="2:8" x14ac:dyDescent="0.2">
      <c r="B125" s="1208"/>
    </row>
    <row r="126" spans="2:8" x14ac:dyDescent="0.2">
      <c r="B126" s="1208"/>
    </row>
    <row r="127" spans="2:8" x14ac:dyDescent="0.2">
      <c r="B127" s="1208"/>
    </row>
    <row r="128" spans="2:8" x14ac:dyDescent="0.2">
      <c r="B128" s="1208"/>
    </row>
    <row r="129" spans="2:2" x14ac:dyDescent="0.2">
      <c r="B129" s="1208"/>
    </row>
    <row r="130" spans="2:2" x14ac:dyDescent="0.2">
      <c r="B130" s="1208"/>
    </row>
    <row r="131" spans="2:2" x14ac:dyDescent="0.2">
      <c r="B131" s="1208"/>
    </row>
    <row r="132" spans="2:2" x14ac:dyDescent="0.2">
      <c r="B132" s="1208"/>
    </row>
    <row r="133" spans="2:2" x14ac:dyDescent="0.2">
      <c r="B133" s="1208"/>
    </row>
    <row r="134" spans="2:2" x14ac:dyDescent="0.2">
      <c r="B134" s="1208"/>
    </row>
    <row r="135" spans="2:2" x14ac:dyDescent="0.2">
      <c r="B135" s="1208"/>
    </row>
    <row r="136" spans="2:2" x14ac:dyDescent="0.2">
      <c r="B136" s="1208"/>
    </row>
    <row r="137" spans="2:2" x14ac:dyDescent="0.2">
      <c r="B137" s="1208"/>
    </row>
    <row r="138" spans="2:2" x14ac:dyDescent="0.2">
      <c r="B138" s="1208"/>
    </row>
  </sheetData>
  <mergeCells count="11">
    <mergeCell ref="A81:N81"/>
    <mergeCell ref="A82:N82"/>
    <mergeCell ref="A83:N83"/>
    <mergeCell ref="A84:N84"/>
    <mergeCell ref="K2:K3"/>
    <mergeCell ref="A75:N75"/>
    <mergeCell ref="A76:N76"/>
    <mergeCell ref="A77:N77"/>
    <mergeCell ref="A78:N78"/>
    <mergeCell ref="A79:N79"/>
    <mergeCell ref="A80:N80"/>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2:K3" location="Index!A1" display="GoTo Index"/>
  </hyperlinks>
  <pageMargins left="0.25" right="0.25" top="0.33" bottom="0.51" header="0.21" footer="0.5"/>
  <pageSetup scale="75" fitToHeight="99" pageOrder="overThenDown" orientation="portrait" blackAndWhite="1"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8">
    <pageSetUpPr fitToPage="1"/>
  </sheetPr>
  <dimension ref="A1:N20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34.7109375" style="25" customWidth="1"/>
    <col min="2" max="2" width="7.28515625" style="26" customWidth="1"/>
    <col min="3" max="3" width="15.42578125" style="61" customWidth="1"/>
    <col min="4" max="4" width="3.7109375" style="61" customWidth="1"/>
    <col min="5" max="5" width="15.140625" style="59" customWidth="1"/>
    <col min="6" max="6" width="2.85546875" style="60" customWidth="1"/>
    <col min="7" max="7" width="13.7109375" style="59" hidden="1" customWidth="1"/>
    <col min="8" max="8" width="3.140625" style="60" hidden="1" customWidth="1"/>
    <col min="9" max="9" width="15" style="59" bestFit="1" customWidth="1"/>
    <col min="10" max="10" width="3.140625" style="60" customWidth="1"/>
    <col min="11" max="11" width="15" style="59" bestFit="1" customWidth="1"/>
    <col min="12" max="12" width="3.140625" style="60" customWidth="1"/>
    <col min="13" max="13" width="13.7109375" style="59" hidden="1" customWidth="1"/>
    <col min="14" max="14" width="3.140625" style="60" hidden="1" customWidth="1"/>
    <col min="15" max="16384" width="9.140625" style="29"/>
  </cols>
  <sheetData>
    <row r="1" spans="1:14" s="4" customFormat="1" ht="15.75" x14ac:dyDescent="0.2">
      <c r="A1" s="1" t="s">
        <v>174</v>
      </c>
      <c r="B1" s="2">
        <v>2019</v>
      </c>
      <c r="C1" s="3"/>
      <c r="E1" s="3"/>
      <c r="G1" s="5"/>
      <c r="I1" s="5"/>
      <c r="J1" s="6"/>
      <c r="K1" s="5"/>
      <c r="L1" s="6"/>
      <c r="M1" s="5"/>
      <c r="N1" s="6"/>
    </row>
    <row r="2" spans="1:14" s="4" customFormat="1" ht="15.75" x14ac:dyDescent="0.25">
      <c r="A2" s="1" t="s">
        <v>175</v>
      </c>
      <c r="B2" s="7" t="s">
        <v>176</v>
      </c>
      <c r="C2" s="7" t="s">
        <v>0</v>
      </c>
      <c r="D2" s="6"/>
      <c r="E2" s="8"/>
      <c r="F2" s="9"/>
      <c r="G2" s="8"/>
      <c r="H2" s="6"/>
      <c r="I2" s="8"/>
      <c r="J2" s="6"/>
      <c r="K2" s="1733" t="s">
        <v>171</v>
      </c>
      <c r="L2" s="6"/>
      <c r="M2" s="8"/>
      <c r="N2" s="6"/>
    </row>
    <row r="3" spans="1:14" s="4" customFormat="1" ht="15.75" x14ac:dyDescent="0.25">
      <c r="A3" s="1" t="s">
        <v>177</v>
      </c>
      <c r="B3" s="10" t="s">
        <v>2895</v>
      </c>
      <c r="C3" s="10" t="s">
        <v>75</v>
      </c>
      <c r="D3" s="6"/>
      <c r="E3" s="11"/>
      <c r="F3" s="9"/>
      <c r="G3" s="11"/>
      <c r="H3" s="6"/>
      <c r="I3" s="11"/>
      <c r="J3" s="6"/>
      <c r="K3" s="1734"/>
      <c r="L3" s="6"/>
      <c r="M3" s="11"/>
      <c r="N3" s="6"/>
    </row>
    <row r="4" spans="1:14" s="4" customFormat="1" ht="15.75" x14ac:dyDescent="0.25">
      <c r="A4" s="1" t="s">
        <v>180</v>
      </c>
      <c r="B4" s="10" t="s">
        <v>2896</v>
      </c>
      <c r="C4" s="10" t="s">
        <v>76</v>
      </c>
      <c r="D4" s="6"/>
      <c r="E4" s="11"/>
      <c r="F4" s="9"/>
      <c r="G4" s="11"/>
      <c r="H4" s="6"/>
      <c r="I4" s="11"/>
      <c r="J4" s="6"/>
      <c r="K4" s="11"/>
      <c r="L4" s="6"/>
      <c r="M4" s="11"/>
      <c r="N4" s="6"/>
    </row>
    <row r="5" spans="1:14" s="4" customFormat="1" ht="15.75" x14ac:dyDescent="0.2">
      <c r="A5" s="1" t="s">
        <v>183</v>
      </c>
      <c r="B5" s="12" t="s">
        <v>211</v>
      </c>
      <c r="C5" s="12" t="s">
        <v>211</v>
      </c>
      <c r="D5" s="13"/>
      <c r="E5" s="14"/>
      <c r="G5" s="14"/>
      <c r="I5" s="14"/>
      <c r="K5" s="14"/>
      <c r="M5" s="14"/>
    </row>
    <row r="6" spans="1:14" s="4" customFormat="1" ht="15.75" x14ac:dyDescent="0.25">
      <c r="A6" s="15" t="s">
        <v>186</v>
      </c>
      <c r="B6" s="16">
        <v>4</v>
      </c>
      <c r="C6" s="17"/>
      <c r="D6" s="18"/>
      <c r="E6" s="19"/>
      <c r="F6" s="9"/>
      <c r="G6" s="8"/>
      <c r="H6" s="6"/>
      <c r="I6" s="8"/>
      <c r="J6" s="6"/>
      <c r="K6" s="8"/>
      <c r="L6" s="6"/>
      <c r="M6" s="8"/>
      <c r="N6" s="6"/>
    </row>
    <row r="7" spans="1:14" s="24" customFormat="1" x14ac:dyDescent="0.2">
      <c r="A7" s="20"/>
      <c r="B7" s="21"/>
      <c r="C7" s="22"/>
      <c r="D7" s="23"/>
      <c r="E7" s="22"/>
      <c r="F7" s="23"/>
      <c r="G7" s="22"/>
      <c r="H7" s="23"/>
      <c r="I7" s="22"/>
      <c r="J7" s="23"/>
      <c r="K7" s="22" t="s">
        <v>187</v>
      </c>
      <c r="L7" s="23"/>
      <c r="M7" s="22" t="s">
        <v>187</v>
      </c>
      <c r="N7" s="23"/>
    </row>
    <row r="8" spans="1:14" x14ac:dyDescent="0.2">
      <c r="C8" s="27" t="s">
        <v>188</v>
      </c>
      <c r="D8" s="28" t="s">
        <v>189</v>
      </c>
      <c r="E8" s="27" t="s">
        <v>188</v>
      </c>
      <c r="F8" s="28" t="s">
        <v>189</v>
      </c>
      <c r="G8" s="27" t="s">
        <v>190</v>
      </c>
      <c r="H8" s="28" t="s">
        <v>189</v>
      </c>
      <c r="I8" s="27" t="s">
        <v>191</v>
      </c>
      <c r="J8" s="28" t="s">
        <v>189</v>
      </c>
      <c r="K8" s="27" t="s">
        <v>192</v>
      </c>
      <c r="L8" s="28" t="s">
        <v>189</v>
      </c>
      <c r="M8" s="27" t="s">
        <v>192</v>
      </c>
      <c r="N8" s="28" t="s">
        <v>189</v>
      </c>
    </row>
    <row r="9" spans="1:14"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4" s="37" customFormat="1" x14ac:dyDescent="0.2">
      <c r="A10" s="35" t="s">
        <v>222</v>
      </c>
      <c r="B10" s="36"/>
      <c r="C10" s="87"/>
      <c r="D10" s="87"/>
      <c r="E10" s="87"/>
      <c r="F10" s="87"/>
      <c r="G10" s="87"/>
      <c r="I10" s="87"/>
    </row>
    <row r="11" spans="1:14" s="37" customFormat="1" x14ac:dyDescent="0.2">
      <c r="A11" s="35" t="s">
        <v>2897</v>
      </c>
      <c r="B11" s="36"/>
      <c r="C11" s="87"/>
      <c r="D11" s="87"/>
      <c r="E11" s="87"/>
      <c r="F11" s="87"/>
      <c r="G11" s="87"/>
      <c r="I11" s="87"/>
    </row>
    <row r="12" spans="1:14" s="40" customFormat="1" x14ac:dyDescent="0.2">
      <c r="A12" s="38" t="s">
        <v>2898</v>
      </c>
      <c r="B12" s="39"/>
      <c r="C12" s="63"/>
      <c r="D12" s="63"/>
      <c r="E12" s="63"/>
      <c r="F12" s="63"/>
      <c r="G12" s="63"/>
      <c r="I12" s="63"/>
    </row>
    <row r="13" spans="1:14" s="40" customFormat="1" x14ac:dyDescent="0.2">
      <c r="A13" s="41" t="s">
        <v>2899</v>
      </c>
      <c r="B13" s="39"/>
      <c r="C13" s="63"/>
      <c r="D13" s="63"/>
      <c r="E13" s="63"/>
      <c r="F13" s="63"/>
      <c r="G13" s="63"/>
      <c r="I13" s="63"/>
      <c r="M13" s="77"/>
    </row>
    <row r="14" spans="1:14" s="40" customFormat="1" x14ac:dyDescent="0.2">
      <c r="A14" s="90" t="s">
        <v>2835</v>
      </c>
      <c r="B14" s="39"/>
      <c r="C14" s="76">
        <v>137</v>
      </c>
      <c r="D14" s="63"/>
      <c r="E14" s="76">
        <v>151</v>
      </c>
      <c r="F14" s="63"/>
      <c r="G14" s="76">
        <v>140</v>
      </c>
      <c r="I14" s="76">
        <v>140</v>
      </c>
      <c r="K14" s="76">
        <v>140</v>
      </c>
      <c r="M14" s="76"/>
    </row>
    <row r="15" spans="1:14" s="40" customFormat="1" x14ac:dyDescent="0.2">
      <c r="A15" s="90" t="s">
        <v>1483</v>
      </c>
      <c r="B15" s="39"/>
      <c r="C15" s="76">
        <v>143</v>
      </c>
      <c r="D15" s="63"/>
      <c r="E15" s="76">
        <v>153</v>
      </c>
      <c r="F15" s="63"/>
      <c r="G15" s="76">
        <v>130</v>
      </c>
      <c r="I15" s="76">
        <v>140</v>
      </c>
      <c r="K15" s="76">
        <v>140</v>
      </c>
      <c r="M15" s="76"/>
    </row>
    <row r="16" spans="1:14" s="40" customFormat="1" x14ac:dyDescent="0.2">
      <c r="A16" s="90" t="s">
        <v>2900</v>
      </c>
      <c r="B16" s="39"/>
      <c r="C16" s="76">
        <v>113</v>
      </c>
      <c r="D16" s="63"/>
      <c r="E16" s="112">
        <v>111</v>
      </c>
      <c r="F16" s="111"/>
      <c r="G16" s="112">
        <v>130</v>
      </c>
      <c r="I16" s="112">
        <v>130</v>
      </c>
      <c r="K16" s="76">
        <v>130</v>
      </c>
      <c r="M16" s="76"/>
    </row>
    <row r="17" spans="1:13" s="40" customFormat="1" x14ac:dyDescent="0.2">
      <c r="A17" s="41" t="s">
        <v>2901</v>
      </c>
      <c r="B17" s="39"/>
      <c r="C17" s="76">
        <v>1226</v>
      </c>
      <c r="D17" s="63"/>
      <c r="E17" s="112">
        <v>1166</v>
      </c>
      <c r="F17" s="111"/>
      <c r="G17" s="112">
        <v>1200</v>
      </c>
      <c r="I17" s="112">
        <v>1200</v>
      </c>
      <c r="K17" s="76">
        <v>1200</v>
      </c>
      <c r="M17" s="76"/>
    </row>
    <row r="18" spans="1:13" s="40" customFormat="1" x14ac:dyDescent="0.2">
      <c r="A18" s="41" t="s">
        <v>2902</v>
      </c>
      <c r="B18" s="39"/>
      <c r="C18" s="76">
        <v>1589</v>
      </c>
      <c r="D18" s="63"/>
      <c r="E18" s="76">
        <v>1679</v>
      </c>
      <c r="F18" s="63"/>
      <c r="G18" s="76">
        <v>1500</v>
      </c>
      <c r="I18" s="76">
        <v>1600</v>
      </c>
      <c r="K18" s="76">
        <v>1600</v>
      </c>
      <c r="M18" s="76"/>
    </row>
    <row r="19" spans="1:13" s="40" customFormat="1" x14ac:dyDescent="0.2">
      <c r="A19" s="41" t="s">
        <v>2903</v>
      </c>
      <c r="B19" s="39"/>
      <c r="C19" s="76">
        <v>208</v>
      </c>
      <c r="D19" s="63"/>
      <c r="E19" s="76">
        <v>169</v>
      </c>
      <c r="F19" s="63"/>
      <c r="G19" s="76">
        <v>200</v>
      </c>
      <c r="I19" s="76">
        <v>200</v>
      </c>
      <c r="K19" s="76">
        <v>200</v>
      </c>
      <c r="M19" s="76"/>
    </row>
    <row r="20" spans="1:13" s="37" customFormat="1" x14ac:dyDescent="0.2">
      <c r="A20" s="35" t="s">
        <v>2904</v>
      </c>
      <c r="B20" s="36"/>
      <c r="C20" s="87"/>
      <c r="D20" s="87"/>
      <c r="E20" s="87"/>
      <c r="F20" s="87"/>
      <c r="G20" s="87"/>
      <c r="I20" s="87"/>
      <c r="M20" s="87"/>
    </row>
    <row r="21" spans="1:13" s="40" customFormat="1" x14ac:dyDescent="0.2">
      <c r="A21" s="41" t="s">
        <v>2905</v>
      </c>
      <c r="B21" s="39"/>
      <c r="C21" s="63"/>
      <c r="D21" s="63"/>
      <c r="E21" s="63"/>
      <c r="F21" s="63"/>
      <c r="G21" s="63"/>
      <c r="I21" s="63"/>
      <c r="M21" s="63"/>
    </row>
    <row r="22" spans="1:13" s="40" customFormat="1" x14ac:dyDescent="0.2">
      <c r="A22" s="90" t="s">
        <v>2835</v>
      </c>
      <c r="B22" s="39"/>
      <c r="C22" s="76">
        <v>5740</v>
      </c>
      <c r="D22" s="63"/>
      <c r="E22" s="76">
        <v>5747</v>
      </c>
      <c r="F22" s="63"/>
      <c r="G22" s="76">
        <v>15700</v>
      </c>
      <c r="I22" s="76">
        <v>7500</v>
      </c>
      <c r="K22" s="76">
        <v>8500</v>
      </c>
      <c r="M22" s="76"/>
    </row>
    <row r="23" spans="1:13" s="40" customFormat="1" x14ac:dyDescent="0.2">
      <c r="A23" s="90" t="s">
        <v>1483</v>
      </c>
      <c r="B23" s="39"/>
      <c r="C23" s="76">
        <v>5956</v>
      </c>
      <c r="D23" s="63"/>
      <c r="E23" s="76">
        <v>6095</v>
      </c>
      <c r="F23" s="63"/>
      <c r="G23" s="76">
        <v>15800</v>
      </c>
      <c r="I23" s="76">
        <v>7600</v>
      </c>
      <c r="K23" s="76">
        <v>8600</v>
      </c>
      <c r="M23" s="76"/>
    </row>
    <row r="24" spans="1:13" s="40" customFormat="1" x14ac:dyDescent="0.2">
      <c r="A24" s="90" t="s">
        <v>2906</v>
      </c>
      <c r="B24" s="39"/>
      <c r="C24" s="76">
        <v>6123</v>
      </c>
      <c r="D24" s="63"/>
      <c r="E24" s="76">
        <v>5775</v>
      </c>
      <c r="F24" s="63"/>
      <c r="G24" s="76">
        <v>5923</v>
      </c>
      <c r="I24" s="76">
        <v>5675</v>
      </c>
      <c r="K24" s="76">
        <v>5575</v>
      </c>
      <c r="M24" s="76"/>
    </row>
    <row r="25" spans="1:13" s="40" customFormat="1" x14ac:dyDescent="0.2">
      <c r="A25" s="41" t="s">
        <v>2902</v>
      </c>
      <c r="B25" s="39"/>
      <c r="C25" s="76">
        <v>9693</v>
      </c>
      <c r="D25" s="63"/>
      <c r="E25" s="76">
        <v>9379</v>
      </c>
      <c r="F25" s="63"/>
      <c r="G25" s="76">
        <v>12500</v>
      </c>
      <c r="I25" s="76">
        <v>10500</v>
      </c>
      <c r="K25" s="76">
        <v>11500</v>
      </c>
      <c r="M25" s="76"/>
    </row>
    <row r="26" spans="1:13" s="37" customFormat="1" x14ac:dyDescent="0.2">
      <c r="A26" s="35" t="s">
        <v>2907</v>
      </c>
      <c r="B26" s="36"/>
      <c r="C26" s="87"/>
      <c r="D26" s="87"/>
      <c r="E26" s="87"/>
      <c r="F26" s="87"/>
      <c r="G26" s="87"/>
      <c r="I26" s="87"/>
      <c r="K26" s="87"/>
      <c r="M26" s="87"/>
    </row>
    <row r="27" spans="1:13" s="40" customFormat="1" x14ac:dyDescent="0.2">
      <c r="A27" s="41" t="s">
        <v>2908</v>
      </c>
      <c r="B27" s="39"/>
      <c r="C27" s="63"/>
      <c r="D27" s="63"/>
      <c r="E27" s="63"/>
      <c r="F27" s="63"/>
      <c r="G27" s="63"/>
      <c r="I27" s="63"/>
      <c r="K27" s="63"/>
      <c r="M27" s="63"/>
    </row>
    <row r="28" spans="1:13" s="40" customFormat="1" x14ac:dyDescent="0.2">
      <c r="A28" s="90" t="s">
        <v>2835</v>
      </c>
      <c r="B28" s="39"/>
      <c r="C28" s="76">
        <v>78012</v>
      </c>
      <c r="D28" s="63"/>
      <c r="E28" s="76">
        <v>75821</v>
      </c>
      <c r="F28" s="63"/>
      <c r="G28" s="76">
        <v>71896</v>
      </c>
      <c r="I28" s="76">
        <v>75063</v>
      </c>
      <c r="K28" s="76">
        <v>74312</v>
      </c>
      <c r="M28" s="76"/>
    </row>
    <row r="29" spans="1:13" s="40" customFormat="1" x14ac:dyDescent="0.2">
      <c r="A29" s="90" t="s">
        <v>2909</v>
      </c>
      <c r="B29" s="39"/>
      <c r="C29" s="76">
        <v>81576</v>
      </c>
      <c r="D29" s="63"/>
      <c r="E29" s="76">
        <v>79507</v>
      </c>
      <c r="F29" s="63"/>
      <c r="G29" s="76">
        <v>75181</v>
      </c>
      <c r="I29" s="76">
        <v>78601</v>
      </c>
      <c r="K29" s="76">
        <v>77814</v>
      </c>
      <c r="M29" s="76"/>
    </row>
    <row r="30" spans="1:13" s="40" customFormat="1" x14ac:dyDescent="0.2">
      <c r="A30" s="90" t="s">
        <v>1545</v>
      </c>
      <c r="B30" s="39"/>
      <c r="C30" s="112">
        <v>95761</v>
      </c>
      <c r="D30" s="63"/>
      <c r="E30" s="76">
        <v>92264</v>
      </c>
      <c r="F30" s="63"/>
      <c r="G30" s="76">
        <v>89055</v>
      </c>
      <c r="I30" s="76">
        <v>88726</v>
      </c>
      <c r="K30" s="76">
        <v>85224</v>
      </c>
      <c r="M30" s="76"/>
    </row>
    <row r="31" spans="1:13" s="40" customFormat="1" x14ac:dyDescent="0.2">
      <c r="A31" s="41" t="s">
        <v>2910</v>
      </c>
      <c r="B31" s="39"/>
      <c r="C31" s="63"/>
      <c r="D31" s="63"/>
      <c r="E31" s="63"/>
      <c r="F31" s="63"/>
      <c r="G31" s="63"/>
      <c r="I31" s="63"/>
      <c r="K31" s="63"/>
      <c r="M31" s="63"/>
    </row>
    <row r="32" spans="1:13" s="40" customFormat="1" x14ac:dyDescent="0.2">
      <c r="A32" s="90" t="s">
        <v>2835</v>
      </c>
      <c r="B32" s="39"/>
      <c r="C32" s="76">
        <v>371624</v>
      </c>
      <c r="D32" s="63"/>
      <c r="E32" s="76">
        <v>399223</v>
      </c>
      <c r="F32" s="63"/>
      <c r="G32" s="76">
        <v>335391</v>
      </c>
      <c r="I32" s="76">
        <v>407207</v>
      </c>
      <c r="K32" s="76">
        <v>415351</v>
      </c>
      <c r="M32" s="76"/>
    </row>
    <row r="33" spans="1:13" s="40" customFormat="1" x14ac:dyDescent="0.2">
      <c r="A33" s="90" t="s">
        <v>2909</v>
      </c>
      <c r="B33" s="39"/>
      <c r="C33" s="76">
        <v>372563</v>
      </c>
      <c r="D33" s="63"/>
      <c r="E33" s="76">
        <v>391324</v>
      </c>
      <c r="F33" s="63"/>
      <c r="G33" s="76">
        <v>336238</v>
      </c>
      <c r="I33" s="76">
        <v>403530</v>
      </c>
      <c r="K33" s="76">
        <v>411601</v>
      </c>
      <c r="M33" s="76"/>
    </row>
    <row r="34" spans="1:13" s="40" customFormat="1" x14ac:dyDescent="0.2">
      <c r="A34" s="90" t="s">
        <v>1545</v>
      </c>
      <c r="B34" s="39"/>
      <c r="C34" s="112">
        <v>32361</v>
      </c>
      <c r="D34" s="63"/>
      <c r="E34" s="76">
        <v>40544</v>
      </c>
      <c r="F34" s="63"/>
      <c r="G34" s="76">
        <v>30622</v>
      </c>
      <c r="I34" s="76">
        <v>44221</v>
      </c>
      <c r="K34" s="76">
        <v>47971</v>
      </c>
      <c r="M34" s="76"/>
    </row>
    <row r="35" spans="1:13" s="40" customFormat="1" x14ac:dyDescent="0.2">
      <c r="A35" s="41" t="s">
        <v>2911</v>
      </c>
      <c r="B35" s="39"/>
      <c r="C35" s="63"/>
      <c r="D35" s="63"/>
      <c r="E35" s="63"/>
      <c r="F35" s="63"/>
      <c r="G35" s="63"/>
      <c r="I35" s="63"/>
      <c r="M35" s="63"/>
    </row>
    <row r="36" spans="1:13" s="40" customFormat="1" x14ac:dyDescent="0.2">
      <c r="A36" s="90" t="s">
        <v>2835</v>
      </c>
      <c r="B36" s="39"/>
      <c r="C36" s="76">
        <v>6446</v>
      </c>
      <c r="D36" s="63"/>
      <c r="E36" s="76">
        <v>6233</v>
      </c>
      <c r="F36" s="63"/>
      <c r="G36" s="76">
        <v>6446</v>
      </c>
      <c r="I36" s="76">
        <v>6233</v>
      </c>
      <c r="K36" s="76">
        <v>6233</v>
      </c>
      <c r="M36" s="76"/>
    </row>
    <row r="37" spans="1:13" s="40" customFormat="1" x14ac:dyDescent="0.2">
      <c r="A37" s="90" t="s">
        <v>2909</v>
      </c>
      <c r="B37" s="39"/>
      <c r="C37" s="76">
        <v>6466</v>
      </c>
      <c r="D37" s="63"/>
      <c r="E37" s="76">
        <v>6135</v>
      </c>
      <c r="F37" s="63"/>
      <c r="G37" s="76">
        <v>6466</v>
      </c>
      <c r="I37" s="76">
        <v>6195</v>
      </c>
      <c r="K37" s="76">
        <v>6195</v>
      </c>
      <c r="M37" s="76"/>
    </row>
    <row r="38" spans="1:13" s="40" customFormat="1" x14ac:dyDescent="0.2">
      <c r="A38" s="90" t="s">
        <v>1545</v>
      </c>
      <c r="B38" s="39"/>
      <c r="C38" s="112">
        <v>1885</v>
      </c>
      <c r="D38" s="63"/>
      <c r="E38" s="76">
        <v>1788</v>
      </c>
      <c r="F38" s="63"/>
      <c r="G38" s="76">
        <v>1845</v>
      </c>
      <c r="I38" s="76">
        <v>1826</v>
      </c>
      <c r="K38" s="76">
        <v>1864</v>
      </c>
      <c r="M38" s="76"/>
    </row>
    <row r="39" spans="1:13" s="40" customFormat="1" x14ac:dyDescent="0.2">
      <c r="A39" s="41" t="s">
        <v>2912</v>
      </c>
      <c r="B39" s="39"/>
      <c r="C39" s="63"/>
      <c r="D39" s="63"/>
      <c r="E39" s="63"/>
      <c r="F39" s="63"/>
      <c r="G39" s="63"/>
      <c r="I39" s="63"/>
      <c r="K39" s="63"/>
      <c r="M39" s="63"/>
    </row>
    <row r="40" spans="1:13" s="40" customFormat="1" x14ac:dyDescent="0.2">
      <c r="A40" s="90" t="s">
        <v>2835</v>
      </c>
      <c r="B40" s="39"/>
      <c r="C40" s="76">
        <v>6955</v>
      </c>
      <c r="D40" s="63"/>
      <c r="E40" s="76">
        <v>6034</v>
      </c>
      <c r="F40" s="63"/>
      <c r="G40" s="76">
        <v>5759</v>
      </c>
      <c r="I40" s="76">
        <v>5913</v>
      </c>
      <c r="K40" s="76">
        <v>5795</v>
      </c>
      <c r="M40" s="76"/>
    </row>
    <row r="41" spans="1:13" s="40" customFormat="1" x14ac:dyDescent="0.2">
      <c r="A41" s="90" t="s">
        <v>1483</v>
      </c>
      <c r="B41" s="39"/>
      <c r="C41" s="76">
        <v>8195</v>
      </c>
      <c r="D41" s="63"/>
      <c r="E41" s="76">
        <v>6452</v>
      </c>
      <c r="F41" s="63"/>
      <c r="G41" s="76">
        <v>5985</v>
      </c>
      <c r="I41" s="76">
        <v>6668</v>
      </c>
      <c r="K41" s="76">
        <v>6535</v>
      </c>
      <c r="M41" s="76"/>
    </row>
    <row r="42" spans="1:13" s="40" customFormat="1" x14ac:dyDescent="0.2">
      <c r="A42" s="90" t="s">
        <v>1545</v>
      </c>
      <c r="B42" s="39"/>
      <c r="C42" s="112">
        <v>3156</v>
      </c>
      <c r="D42" s="63"/>
      <c r="E42" s="76">
        <v>2797</v>
      </c>
      <c r="F42" s="63"/>
      <c r="G42" s="76">
        <v>2682</v>
      </c>
      <c r="I42" s="76">
        <v>2042</v>
      </c>
      <c r="K42" s="76">
        <v>1302</v>
      </c>
      <c r="M42" s="76"/>
    </row>
    <row r="43" spans="1:13" s="40" customFormat="1" x14ac:dyDescent="0.2">
      <c r="A43" s="41" t="s">
        <v>2913</v>
      </c>
      <c r="B43" s="39"/>
      <c r="C43" s="76"/>
      <c r="D43" s="63"/>
      <c r="E43" s="76"/>
      <c r="F43" s="63"/>
      <c r="G43" s="63"/>
      <c r="I43" s="63"/>
      <c r="K43" s="63"/>
      <c r="M43" s="76"/>
    </row>
    <row r="44" spans="1:13" s="40" customFormat="1" x14ac:dyDescent="0.2">
      <c r="A44" s="90" t="s">
        <v>2914</v>
      </c>
      <c r="B44" s="39"/>
      <c r="C44" s="76">
        <v>21597</v>
      </c>
      <c r="D44" s="63"/>
      <c r="E44" s="76">
        <v>21446</v>
      </c>
      <c r="F44" s="63"/>
      <c r="G44" s="76">
        <v>21597</v>
      </c>
      <c r="I44" s="76">
        <v>21446</v>
      </c>
      <c r="K44" s="76">
        <v>21446</v>
      </c>
      <c r="M44" s="76"/>
    </row>
    <row r="45" spans="1:13" s="40" customFormat="1" x14ac:dyDescent="0.2">
      <c r="A45" s="90" t="s">
        <v>2915</v>
      </c>
      <c r="B45" s="39"/>
      <c r="C45" s="76">
        <v>301</v>
      </c>
      <c r="D45" s="63"/>
      <c r="E45" s="76">
        <v>285</v>
      </c>
      <c r="F45" s="63"/>
      <c r="G45" s="76">
        <v>301</v>
      </c>
      <c r="I45" s="76">
        <v>285</v>
      </c>
      <c r="K45" s="76">
        <v>285</v>
      </c>
      <c r="M45" s="76"/>
    </row>
    <row r="46" spans="1:13" s="40" customFormat="1" x14ac:dyDescent="0.2">
      <c r="A46" s="90" t="s">
        <v>2916</v>
      </c>
      <c r="B46" s="39"/>
      <c r="C46" s="76">
        <v>3259</v>
      </c>
      <c r="D46" s="63"/>
      <c r="E46" s="76">
        <v>3030</v>
      </c>
      <c r="F46" s="63"/>
      <c r="G46" s="76">
        <v>3259</v>
      </c>
      <c r="I46" s="76">
        <v>3030</v>
      </c>
      <c r="K46" s="76">
        <v>3030</v>
      </c>
      <c r="M46" s="76"/>
    </row>
    <row r="47" spans="1:13" s="40" customFormat="1" x14ac:dyDescent="0.2">
      <c r="A47" s="90" t="s">
        <v>2917</v>
      </c>
      <c r="B47" s="39"/>
      <c r="C47" s="76">
        <v>8611</v>
      </c>
      <c r="D47" s="63"/>
      <c r="E47" s="76">
        <v>8358</v>
      </c>
      <c r="F47" s="63"/>
      <c r="G47" s="76">
        <v>8611</v>
      </c>
      <c r="I47" s="76">
        <v>8358</v>
      </c>
      <c r="K47" s="76">
        <v>8358</v>
      </c>
      <c r="M47" s="76"/>
    </row>
    <row r="48" spans="1:13" s="40" customFormat="1" x14ac:dyDescent="0.2">
      <c r="A48" s="90" t="s">
        <v>2918</v>
      </c>
      <c r="B48" s="39"/>
      <c r="C48" s="76">
        <v>6959</v>
      </c>
      <c r="D48" s="63"/>
      <c r="E48" s="76">
        <v>7004</v>
      </c>
      <c r="F48" s="63"/>
      <c r="G48" s="76">
        <v>6959</v>
      </c>
      <c r="I48" s="76">
        <v>7004</v>
      </c>
      <c r="K48" s="76">
        <v>7004</v>
      </c>
      <c r="M48" s="76"/>
    </row>
    <row r="49" spans="1:13" s="40" customFormat="1" x14ac:dyDescent="0.2">
      <c r="A49" s="90" t="s">
        <v>2919</v>
      </c>
      <c r="B49" s="39"/>
      <c r="C49" s="76">
        <v>583</v>
      </c>
      <c r="D49" s="63"/>
      <c r="E49" s="76">
        <v>666</v>
      </c>
      <c r="F49" s="63"/>
      <c r="G49" s="76">
        <v>583</v>
      </c>
      <c r="I49" s="76">
        <v>666</v>
      </c>
      <c r="K49" s="76">
        <v>666</v>
      </c>
      <c r="M49" s="76"/>
    </row>
    <row r="50" spans="1:13" s="40" customFormat="1" x14ac:dyDescent="0.2">
      <c r="A50" s="41" t="s">
        <v>2920</v>
      </c>
      <c r="B50" s="39"/>
      <c r="C50" s="63"/>
      <c r="D50" s="63"/>
      <c r="E50" s="63"/>
      <c r="F50" s="63"/>
      <c r="G50" s="63"/>
      <c r="I50" s="63"/>
      <c r="K50" s="63"/>
      <c r="M50" s="63"/>
    </row>
    <row r="51" spans="1:13" s="40" customFormat="1" x14ac:dyDescent="0.2">
      <c r="A51" s="90" t="s">
        <v>2921</v>
      </c>
      <c r="B51" s="39"/>
      <c r="C51" s="76">
        <v>12450</v>
      </c>
      <c r="D51" s="63"/>
      <c r="E51" s="76">
        <v>12919</v>
      </c>
      <c r="F51" s="63"/>
      <c r="G51" s="76">
        <v>12450</v>
      </c>
      <c r="I51" s="76">
        <v>12919</v>
      </c>
      <c r="K51" s="76">
        <v>12919</v>
      </c>
      <c r="M51" s="76"/>
    </row>
    <row r="52" spans="1:13" s="40" customFormat="1" x14ac:dyDescent="0.2">
      <c r="A52" s="90" t="s">
        <v>2915</v>
      </c>
      <c r="B52" s="39"/>
      <c r="C52" s="76">
        <v>223</v>
      </c>
      <c r="D52" s="63"/>
      <c r="E52" s="76">
        <v>264</v>
      </c>
      <c r="F52" s="63"/>
      <c r="G52" s="76">
        <v>223</v>
      </c>
      <c r="I52" s="76">
        <v>264</v>
      </c>
      <c r="K52" s="76">
        <v>264</v>
      </c>
      <c r="M52" s="76"/>
    </row>
    <row r="53" spans="1:13" s="40" customFormat="1" x14ac:dyDescent="0.2">
      <c r="A53" s="90" t="s">
        <v>2916</v>
      </c>
      <c r="B53" s="39"/>
      <c r="C53" s="76">
        <v>1788</v>
      </c>
      <c r="D53" s="63"/>
      <c r="E53" s="76">
        <v>1864</v>
      </c>
      <c r="F53" s="63"/>
      <c r="G53" s="76">
        <v>1788</v>
      </c>
      <c r="I53" s="76">
        <v>1864</v>
      </c>
      <c r="K53" s="76">
        <v>1864</v>
      </c>
      <c r="M53" s="76"/>
    </row>
    <row r="54" spans="1:13" s="40" customFormat="1" x14ac:dyDescent="0.2">
      <c r="A54" s="90" t="s">
        <v>2917</v>
      </c>
      <c r="B54" s="39"/>
      <c r="C54" s="76">
        <v>4239</v>
      </c>
      <c r="D54" s="63"/>
      <c r="E54" s="76">
        <v>4099</v>
      </c>
      <c r="F54" s="63"/>
      <c r="G54" s="76">
        <v>4239</v>
      </c>
      <c r="I54" s="76">
        <v>4099</v>
      </c>
      <c r="K54" s="76">
        <v>4099</v>
      </c>
      <c r="M54" s="76"/>
    </row>
    <row r="55" spans="1:13" s="40" customFormat="1" x14ac:dyDescent="0.2">
      <c r="A55" s="90" t="s">
        <v>2918</v>
      </c>
      <c r="B55" s="39"/>
      <c r="C55" s="76">
        <v>3148</v>
      </c>
      <c r="D55" s="63"/>
      <c r="E55" s="76">
        <v>3123</v>
      </c>
      <c r="F55" s="63"/>
      <c r="G55" s="76">
        <v>3148</v>
      </c>
      <c r="I55" s="76">
        <v>3123</v>
      </c>
      <c r="K55" s="76">
        <v>3123</v>
      </c>
      <c r="M55" s="76"/>
    </row>
    <row r="56" spans="1:13" s="40" customFormat="1" x14ac:dyDescent="0.2">
      <c r="A56" s="90" t="s">
        <v>2919</v>
      </c>
      <c r="B56" s="39"/>
      <c r="C56" s="76">
        <v>182</v>
      </c>
      <c r="D56" s="63"/>
      <c r="E56" s="76">
        <v>214</v>
      </c>
      <c r="F56" s="63"/>
      <c r="G56" s="76">
        <v>182</v>
      </c>
      <c r="I56" s="76">
        <v>214</v>
      </c>
      <c r="K56" s="76">
        <v>214</v>
      </c>
      <c r="M56" s="76"/>
    </row>
    <row r="57" spans="1:13" s="40" customFormat="1" x14ac:dyDescent="0.2">
      <c r="A57" s="41" t="s">
        <v>2922</v>
      </c>
      <c r="B57" s="39"/>
      <c r="C57" s="63"/>
      <c r="D57" s="63"/>
      <c r="E57" s="63"/>
      <c r="F57" s="63"/>
      <c r="G57" s="63"/>
      <c r="I57" s="63"/>
      <c r="M57" s="63"/>
    </row>
    <row r="58" spans="1:13" s="40" customFormat="1" x14ac:dyDescent="0.2">
      <c r="A58" s="90" t="s">
        <v>2914</v>
      </c>
      <c r="B58" s="39"/>
      <c r="C58" s="76">
        <v>4817</v>
      </c>
      <c r="D58" s="63"/>
      <c r="E58" s="76">
        <v>4889</v>
      </c>
      <c r="F58" s="63"/>
      <c r="G58" s="76">
        <v>4817</v>
      </c>
      <c r="I58" s="76">
        <v>4889</v>
      </c>
      <c r="K58" s="76">
        <v>4889</v>
      </c>
      <c r="M58" s="76"/>
    </row>
    <row r="59" spans="1:13" s="40" customFormat="1" x14ac:dyDescent="0.2">
      <c r="A59" s="41" t="s">
        <v>2923</v>
      </c>
      <c r="B59" s="39"/>
      <c r="C59" s="63"/>
      <c r="D59" s="63"/>
      <c r="E59" s="63"/>
      <c r="F59" s="63"/>
      <c r="G59" s="63"/>
      <c r="I59" s="63"/>
      <c r="K59" s="63"/>
      <c r="M59" s="63"/>
    </row>
    <row r="60" spans="1:13" s="40" customFormat="1" x14ac:dyDescent="0.2">
      <c r="A60" s="90" t="s">
        <v>2924</v>
      </c>
      <c r="B60" s="39"/>
      <c r="C60" s="76">
        <v>4156</v>
      </c>
      <c r="D60" s="63"/>
      <c r="E60" s="76">
        <v>3933</v>
      </c>
      <c r="F60" s="63"/>
      <c r="G60" s="76">
        <v>4156</v>
      </c>
      <c r="I60" s="76">
        <v>3933</v>
      </c>
      <c r="K60" s="76">
        <v>3933</v>
      </c>
      <c r="M60" s="76"/>
    </row>
    <row r="61" spans="1:13" s="40" customFormat="1" x14ac:dyDescent="0.2">
      <c r="A61" s="90" t="s">
        <v>2916</v>
      </c>
      <c r="B61" s="39"/>
      <c r="C61" s="76">
        <v>198</v>
      </c>
      <c r="D61" s="63"/>
      <c r="E61" s="76">
        <v>158</v>
      </c>
      <c r="F61" s="63"/>
      <c r="G61" s="76">
        <v>198</v>
      </c>
      <c r="I61" s="76">
        <v>158</v>
      </c>
      <c r="K61" s="76">
        <v>158</v>
      </c>
      <c r="M61" s="76"/>
    </row>
    <row r="62" spans="1:13" s="40" customFormat="1" x14ac:dyDescent="0.2">
      <c r="A62" s="90" t="s">
        <v>2925</v>
      </c>
      <c r="B62" s="39"/>
      <c r="C62" s="76">
        <v>1031</v>
      </c>
      <c r="D62" s="63"/>
      <c r="E62" s="76">
        <v>1044</v>
      </c>
      <c r="F62" s="63"/>
      <c r="G62" s="76">
        <v>1031</v>
      </c>
      <c r="I62" s="76">
        <v>1044</v>
      </c>
      <c r="K62" s="76">
        <v>1044</v>
      </c>
      <c r="M62" s="76"/>
    </row>
    <row r="63" spans="1:13" s="40" customFormat="1" x14ac:dyDescent="0.2">
      <c r="A63" s="90" t="s">
        <v>2926</v>
      </c>
      <c r="B63" s="39"/>
      <c r="C63" s="76">
        <v>401</v>
      </c>
      <c r="D63" s="63"/>
      <c r="E63" s="76">
        <v>350</v>
      </c>
      <c r="F63" s="63"/>
      <c r="G63" s="76">
        <v>401</v>
      </c>
      <c r="I63" s="76">
        <v>350</v>
      </c>
      <c r="K63" s="76">
        <v>350</v>
      </c>
      <c r="M63" s="76"/>
    </row>
    <row r="64" spans="1:13" s="40" customFormat="1" x14ac:dyDescent="0.2">
      <c r="A64" s="90" t="s">
        <v>2927</v>
      </c>
      <c r="B64" s="39"/>
      <c r="C64" s="76">
        <v>14</v>
      </c>
      <c r="D64" s="63"/>
      <c r="E64" s="76">
        <v>30</v>
      </c>
      <c r="F64" s="63"/>
      <c r="G64" s="76">
        <v>14</v>
      </c>
      <c r="I64" s="76">
        <v>30</v>
      </c>
      <c r="K64" s="76">
        <v>30</v>
      </c>
      <c r="M64" s="76"/>
    </row>
    <row r="65" spans="1:13" s="40" customFormat="1" x14ac:dyDescent="0.2">
      <c r="A65" s="90" t="s">
        <v>2928</v>
      </c>
      <c r="B65" s="39"/>
      <c r="C65" s="76">
        <v>616</v>
      </c>
      <c r="D65" s="63"/>
      <c r="E65" s="76">
        <v>664</v>
      </c>
      <c r="F65" s="63"/>
      <c r="G65" s="76">
        <v>616</v>
      </c>
      <c r="I65" s="76">
        <v>664</v>
      </c>
      <c r="K65" s="76">
        <v>664</v>
      </c>
      <c r="M65" s="76"/>
    </row>
    <row r="66" spans="1:13" s="40" customFormat="1" x14ac:dyDescent="0.2">
      <c r="A66" s="41" t="s">
        <v>2929</v>
      </c>
      <c r="B66" s="39"/>
      <c r="C66" s="63"/>
      <c r="D66" s="63"/>
      <c r="E66" s="63"/>
      <c r="F66" s="63"/>
      <c r="G66" s="63"/>
      <c r="I66" s="63"/>
      <c r="M66" s="63"/>
    </row>
    <row r="67" spans="1:13" s="40" customFormat="1" x14ac:dyDescent="0.2">
      <c r="A67" s="41" t="s">
        <v>2930</v>
      </c>
      <c r="B67" s="39"/>
      <c r="C67" s="63"/>
      <c r="D67" s="63"/>
      <c r="E67" s="63"/>
      <c r="F67" s="63"/>
      <c r="G67" s="63"/>
      <c r="I67" s="63"/>
      <c r="M67" s="63"/>
    </row>
    <row r="68" spans="1:13" s="40" customFormat="1" x14ac:dyDescent="0.2">
      <c r="A68" s="90" t="s">
        <v>2835</v>
      </c>
      <c r="B68" s="39"/>
      <c r="C68" s="76">
        <v>14654</v>
      </c>
      <c r="D68" s="63"/>
      <c r="E68" s="76">
        <v>13260</v>
      </c>
      <c r="F68" s="63"/>
      <c r="G68" s="76">
        <v>16000</v>
      </c>
      <c r="I68" s="76">
        <v>16000</v>
      </c>
      <c r="K68" s="76">
        <v>16000</v>
      </c>
      <c r="M68" s="76"/>
    </row>
    <row r="69" spans="1:13" s="40" customFormat="1" x14ac:dyDescent="0.2">
      <c r="A69" s="90" t="s">
        <v>2836</v>
      </c>
      <c r="B69" s="39"/>
      <c r="C69" s="76">
        <v>18092</v>
      </c>
      <c r="D69" s="63"/>
      <c r="E69" s="76">
        <v>17567</v>
      </c>
      <c r="F69" s="63"/>
      <c r="G69" s="76">
        <v>18000</v>
      </c>
      <c r="I69" s="76">
        <v>18000</v>
      </c>
      <c r="K69" s="76">
        <v>18000</v>
      </c>
      <c r="M69" s="76"/>
    </row>
    <row r="70" spans="1:13" s="40" customFormat="1" x14ac:dyDescent="0.2">
      <c r="A70" s="90" t="s">
        <v>1545</v>
      </c>
      <c r="B70" s="39"/>
      <c r="C70" s="112">
        <v>39224</v>
      </c>
      <c r="D70" s="63"/>
      <c r="E70" s="76">
        <v>34917</v>
      </c>
      <c r="F70" s="63"/>
      <c r="G70" s="76">
        <v>35224</v>
      </c>
      <c r="I70" s="76">
        <v>35224</v>
      </c>
      <c r="K70" s="76">
        <v>35224</v>
      </c>
      <c r="M70" s="76"/>
    </row>
    <row r="71" spans="1:13" s="37" customFormat="1" x14ac:dyDescent="0.2">
      <c r="A71" s="35" t="s">
        <v>2931</v>
      </c>
      <c r="B71" s="36"/>
      <c r="C71" s="87"/>
      <c r="D71" s="87"/>
      <c r="E71" s="87"/>
      <c r="F71" s="87"/>
      <c r="G71" s="87"/>
      <c r="I71" s="87"/>
      <c r="K71" s="87"/>
      <c r="M71" s="87"/>
    </row>
    <row r="72" spans="1:13" s="40" customFormat="1" x14ac:dyDescent="0.2">
      <c r="A72" s="41" t="s">
        <v>2932</v>
      </c>
      <c r="B72" s="39"/>
      <c r="C72" s="63"/>
      <c r="D72" s="63"/>
      <c r="E72" s="63"/>
      <c r="F72" s="63"/>
      <c r="G72" s="63"/>
      <c r="I72" s="63"/>
      <c r="K72" s="63"/>
      <c r="M72" s="63"/>
    </row>
    <row r="73" spans="1:13" s="40" customFormat="1" x14ac:dyDescent="0.2">
      <c r="A73" s="90" t="s">
        <v>2835</v>
      </c>
      <c r="B73" s="39"/>
      <c r="C73" s="76">
        <v>47015</v>
      </c>
      <c r="D73" s="63"/>
      <c r="E73" s="76">
        <v>43146</v>
      </c>
      <c r="F73" s="63"/>
      <c r="G73" s="76">
        <v>47015</v>
      </c>
      <c r="I73" s="76">
        <v>44009</v>
      </c>
      <c r="K73" s="76">
        <v>44889</v>
      </c>
      <c r="M73" s="76"/>
    </row>
    <row r="74" spans="1:13" s="40" customFormat="1" x14ac:dyDescent="0.2">
      <c r="A74" s="90" t="s">
        <v>2909</v>
      </c>
      <c r="B74" s="39"/>
      <c r="C74" s="76">
        <v>47380</v>
      </c>
      <c r="D74" s="63"/>
      <c r="E74" s="76">
        <v>47831</v>
      </c>
      <c r="F74" s="63"/>
      <c r="G74" s="76">
        <v>47380</v>
      </c>
      <c r="I74" s="76">
        <v>46474</v>
      </c>
      <c r="K74" s="76">
        <v>47403</v>
      </c>
      <c r="M74" s="76"/>
    </row>
    <row r="75" spans="1:13" s="40" customFormat="1" x14ac:dyDescent="0.2">
      <c r="A75" s="90" t="s">
        <v>2906</v>
      </c>
      <c r="B75" s="39"/>
      <c r="C75" s="112">
        <v>19047</v>
      </c>
      <c r="D75" s="111"/>
      <c r="E75" s="112">
        <v>15021</v>
      </c>
      <c r="F75" s="111"/>
      <c r="G75" s="112">
        <v>18682</v>
      </c>
      <c r="I75" s="112">
        <v>13789</v>
      </c>
      <c r="K75" s="76">
        <v>12532</v>
      </c>
      <c r="M75" s="76"/>
    </row>
    <row r="76" spans="1:13" s="40" customFormat="1" x14ac:dyDescent="0.2">
      <c r="A76" s="41" t="s">
        <v>2933</v>
      </c>
      <c r="B76" s="39"/>
      <c r="C76" s="65"/>
      <c r="D76" s="63"/>
      <c r="E76" s="65"/>
      <c r="F76" s="63"/>
      <c r="G76" s="65"/>
      <c r="I76" s="65"/>
      <c r="K76" s="65"/>
      <c r="M76" s="65"/>
    </row>
    <row r="77" spans="1:13" s="40" customFormat="1" x14ac:dyDescent="0.2">
      <c r="A77" s="90" t="s">
        <v>2835</v>
      </c>
      <c r="B77" s="39"/>
      <c r="C77" s="76">
        <v>713</v>
      </c>
      <c r="D77" s="63"/>
      <c r="E77" s="76">
        <v>553</v>
      </c>
      <c r="F77" s="63"/>
      <c r="G77" s="76">
        <v>604</v>
      </c>
      <c r="I77" s="76">
        <v>525</v>
      </c>
      <c r="K77" s="76">
        <v>499</v>
      </c>
      <c r="M77" s="76"/>
    </row>
    <row r="78" spans="1:13" s="40" customFormat="1" x14ac:dyDescent="0.2">
      <c r="A78" s="90" t="s">
        <v>2909</v>
      </c>
      <c r="B78" s="39"/>
      <c r="C78" s="76">
        <v>731</v>
      </c>
      <c r="D78" s="63"/>
      <c r="E78" s="76">
        <v>603</v>
      </c>
      <c r="F78" s="63"/>
      <c r="G78" s="76">
        <v>619</v>
      </c>
      <c r="I78" s="76">
        <v>553</v>
      </c>
      <c r="K78" s="76">
        <v>526</v>
      </c>
      <c r="M78" s="76"/>
    </row>
    <row r="79" spans="1:13" s="40" customFormat="1" x14ac:dyDescent="0.2">
      <c r="A79" s="90" t="s">
        <v>2906</v>
      </c>
      <c r="B79" s="39"/>
      <c r="C79" s="112">
        <v>271</v>
      </c>
      <c r="D79" s="63"/>
      <c r="E79" s="76">
        <v>216</v>
      </c>
      <c r="F79" s="63"/>
      <c r="G79" s="76">
        <v>239</v>
      </c>
      <c r="I79" s="76">
        <v>188</v>
      </c>
      <c r="K79" s="76">
        <v>161</v>
      </c>
      <c r="M79" s="76"/>
    </row>
    <row r="80" spans="1:13" s="40" customFormat="1" x14ac:dyDescent="0.2">
      <c r="A80" s="41" t="s">
        <v>2934</v>
      </c>
      <c r="B80" s="39"/>
      <c r="C80" s="65"/>
      <c r="D80" s="63"/>
      <c r="E80" s="65"/>
      <c r="F80" s="63"/>
      <c r="G80" s="65"/>
      <c r="I80" s="65"/>
      <c r="K80" s="65"/>
      <c r="M80" s="65"/>
    </row>
    <row r="81" spans="1:13" s="40" customFormat="1" x14ac:dyDescent="0.2">
      <c r="A81" s="90" t="s">
        <v>2835</v>
      </c>
      <c r="B81" s="39"/>
      <c r="C81" s="76">
        <v>870</v>
      </c>
      <c r="D81" s="63"/>
      <c r="E81" s="76">
        <v>730</v>
      </c>
      <c r="F81" s="63"/>
      <c r="G81" s="76">
        <v>836</v>
      </c>
      <c r="I81" s="76">
        <v>679</v>
      </c>
      <c r="K81" s="76">
        <v>631</v>
      </c>
      <c r="M81" s="76"/>
    </row>
    <row r="82" spans="1:13" s="40" customFormat="1" x14ac:dyDescent="0.2">
      <c r="A82" s="90" t="s">
        <v>2909</v>
      </c>
      <c r="B82" s="39"/>
      <c r="C82" s="76">
        <v>789</v>
      </c>
      <c r="D82" s="63"/>
      <c r="E82" s="76">
        <v>853</v>
      </c>
      <c r="F82" s="63"/>
      <c r="G82" s="76">
        <v>758</v>
      </c>
      <c r="I82" s="76">
        <v>697</v>
      </c>
      <c r="K82" s="76">
        <v>648</v>
      </c>
      <c r="M82" s="76"/>
    </row>
    <row r="83" spans="1:13" s="40" customFormat="1" x14ac:dyDescent="0.2">
      <c r="A83" s="90" t="s">
        <v>2906</v>
      </c>
      <c r="B83" s="39"/>
      <c r="C83" s="76">
        <v>744</v>
      </c>
      <c r="D83" s="63"/>
      <c r="E83" s="76">
        <v>638</v>
      </c>
      <c r="F83" s="63"/>
      <c r="G83" s="76">
        <v>901</v>
      </c>
      <c r="I83" s="76">
        <v>620</v>
      </c>
      <c r="K83" s="76">
        <v>603</v>
      </c>
      <c r="M83" s="76"/>
    </row>
    <row r="84" spans="1:13" s="40" customFormat="1" x14ac:dyDescent="0.2">
      <c r="A84" s="41" t="s">
        <v>2935</v>
      </c>
      <c r="B84" s="39"/>
      <c r="C84" s="63"/>
      <c r="D84" s="63"/>
      <c r="E84" s="63"/>
      <c r="F84" s="63"/>
      <c r="G84" s="63"/>
      <c r="I84" s="63"/>
      <c r="K84" s="63"/>
      <c r="M84" s="63"/>
    </row>
    <row r="85" spans="1:13" s="40" customFormat="1" x14ac:dyDescent="0.2">
      <c r="A85" s="90" t="s">
        <v>2936</v>
      </c>
      <c r="B85" s="39"/>
      <c r="C85" s="112">
        <v>6092</v>
      </c>
      <c r="D85" s="111"/>
      <c r="E85" s="112">
        <v>6397</v>
      </c>
      <c r="F85" s="111"/>
      <c r="G85" s="112">
        <v>6717</v>
      </c>
      <c r="I85" s="112">
        <v>6717</v>
      </c>
      <c r="K85" s="76">
        <v>7000</v>
      </c>
      <c r="M85" s="76"/>
    </row>
    <row r="86" spans="1:13" s="40" customFormat="1" x14ac:dyDescent="0.2">
      <c r="A86" s="90" t="s">
        <v>2937</v>
      </c>
      <c r="B86" s="39"/>
      <c r="C86" s="112">
        <v>3971</v>
      </c>
      <c r="D86" s="111"/>
      <c r="E86" s="112">
        <v>4170</v>
      </c>
      <c r="F86" s="111"/>
      <c r="G86" s="112">
        <v>4379</v>
      </c>
      <c r="I86" s="112">
        <v>4511</v>
      </c>
      <c r="K86" s="76">
        <v>6000</v>
      </c>
      <c r="M86" s="76"/>
    </row>
    <row r="87" spans="1:13" s="37" customFormat="1" x14ac:dyDescent="0.2">
      <c r="A87" s="35" t="s">
        <v>2938</v>
      </c>
      <c r="B87" s="36"/>
      <c r="C87" s="87"/>
      <c r="D87" s="87"/>
      <c r="E87" s="87"/>
      <c r="F87" s="87"/>
      <c r="G87" s="87"/>
      <c r="I87" s="87"/>
      <c r="K87" s="87"/>
      <c r="M87" s="87"/>
    </row>
    <row r="88" spans="1:13" s="40" customFormat="1" x14ac:dyDescent="0.2">
      <c r="A88" s="41" t="s">
        <v>2939</v>
      </c>
      <c r="B88" s="39"/>
      <c r="C88" s="63"/>
      <c r="D88" s="63"/>
      <c r="E88" s="63"/>
      <c r="F88" s="63"/>
      <c r="G88" s="63"/>
      <c r="I88" s="63"/>
      <c r="K88" s="63"/>
      <c r="M88" s="63"/>
    </row>
    <row r="89" spans="1:13" s="40" customFormat="1" x14ac:dyDescent="0.2">
      <c r="A89" s="90" t="s">
        <v>2835</v>
      </c>
      <c r="B89" s="39"/>
      <c r="C89" s="76">
        <v>60911</v>
      </c>
      <c r="D89" s="63"/>
      <c r="E89" s="76">
        <v>56228</v>
      </c>
      <c r="F89" s="63"/>
      <c r="G89" s="76">
        <v>58499</v>
      </c>
      <c r="I89" s="76">
        <v>53979</v>
      </c>
      <c r="K89" s="76">
        <v>51820</v>
      </c>
      <c r="M89" s="76"/>
    </row>
    <row r="90" spans="1:13" s="40" customFormat="1" x14ac:dyDescent="0.2">
      <c r="A90" s="90" t="s">
        <v>2909</v>
      </c>
      <c r="B90" s="39"/>
      <c r="C90" s="76">
        <v>60829</v>
      </c>
      <c r="D90" s="63"/>
      <c r="E90" s="76">
        <v>56742</v>
      </c>
      <c r="F90" s="63"/>
      <c r="G90" s="76">
        <v>58420</v>
      </c>
      <c r="I90" s="76">
        <v>54178</v>
      </c>
      <c r="K90" s="76">
        <v>52011</v>
      </c>
      <c r="M90" s="76"/>
    </row>
    <row r="91" spans="1:13" s="40" customFormat="1" x14ac:dyDescent="0.2">
      <c r="A91" s="90" t="s">
        <v>2906</v>
      </c>
      <c r="B91" s="39"/>
      <c r="C91" s="112">
        <v>18246</v>
      </c>
      <c r="D91" s="63"/>
      <c r="E91" s="76">
        <v>17679</v>
      </c>
      <c r="F91" s="63"/>
      <c r="G91" s="76">
        <v>18405</v>
      </c>
      <c r="I91" s="76">
        <v>17480</v>
      </c>
      <c r="K91" s="76">
        <v>17289</v>
      </c>
      <c r="M91" s="76"/>
    </row>
    <row r="92" spans="1:13" s="40" customFormat="1" x14ac:dyDescent="0.2">
      <c r="A92" s="41" t="s">
        <v>2940</v>
      </c>
      <c r="B92" s="39"/>
      <c r="C92" s="65"/>
      <c r="D92" s="63"/>
      <c r="E92" s="65"/>
      <c r="F92" s="63"/>
      <c r="G92" s="65"/>
      <c r="I92" s="65"/>
      <c r="K92" s="65"/>
      <c r="M92" s="65"/>
    </row>
    <row r="93" spans="1:13" s="40" customFormat="1" x14ac:dyDescent="0.2">
      <c r="A93" s="90" t="s">
        <v>2835</v>
      </c>
      <c r="B93" s="39"/>
      <c r="C93" s="76">
        <v>27697</v>
      </c>
      <c r="D93" s="63"/>
      <c r="E93" s="76">
        <v>25396</v>
      </c>
      <c r="F93" s="63"/>
      <c r="G93" s="76">
        <v>25525</v>
      </c>
      <c r="I93" s="76">
        <v>23618</v>
      </c>
      <c r="K93" s="76">
        <v>21965</v>
      </c>
      <c r="M93" s="76"/>
    </row>
    <row r="94" spans="1:13" s="40" customFormat="1" x14ac:dyDescent="0.2">
      <c r="A94" s="90" t="s">
        <v>2909</v>
      </c>
      <c r="B94" s="39"/>
      <c r="C94" s="76">
        <v>27293</v>
      </c>
      <c r="D94" s="63"/>
      <c r="E94" s="76">
        <v>25814</v>
      </c>
      <c r="F94" s="63"/>
      <c r="G94" s="76">
        <v>25153</v>
      </c>
      <c r="I94" s="76">
        <v>23624</v>
      </c>
      <c r="K94" s="76">
        <v>21971</v>
      </c>
      <c r="M94" s="76"/>
    </row>
    <row r="95" spans="1:13" s="40" customFormat="1" x14ac:dyDescent="0.2">
      <c r="A95" s="90" t="s">
        <v>2906</v>
      </c>
      <c r="B95" s="39"/>
      <c r="C95" s="112">
        <v>2620</v>
      </c>
      <c r="D95" s="63"/>
      <c r="E95" s="76">
        <v>2195</v>
      </c>
      <c r="F95" s="63"/>
      <c r="G95" s="76">
        <v>3380</v>
      </c>
      <c r="I95" s="76">
        <v>2189</v>
      </c>
      <c r="K95" s="76">
        <v>2183</v>
      </c>
      <c r="M95" s="76"/>
    </row>
    <row r="96" spans="1:13" s="40" customFormat="1" x14ac:dyDescent="0.2">
      <c r="A96" s="41" t="s">
        <v>2941</v>
      </c>
      <c r="B96" s="39"/>
      <c r="C96" s="63"/>
      <c r="D96" s="63"/>
      <c r="E96" s="63"/>
      <c r="F96" s="63"/>
      <c r="G96" s="63"/>
      <c r="I96" s="63"/>
      <c r="K96" s="63"/>
      <c r="M96" s="63"/>
    </row>
    <row r="97" spans="1:13" s="40" customFormat="1" x14ac:dyDescent="0.2">
      <c r="A97" s="90" t="s">
        <v>2835</v>
      </c>
      <c r="B97" s="39"/>
      <c r="C97" s="76">
        <v>143271</v>
      </c>
      <c r="D97" s="63"/>
      <c r="E97" s="76">
        <v>132272</v>
      </c>
      <c r="F97" s="63"/>
      <c r="G97" s="76">
        <v>137598</v>
      </c>
      <c r="I97" s="76">
        <v>133595</v>
      </c>
      <c r="K97" s="76">
        <v>134931</v>
      </c>
      <c r="M97" s="76"/>
    </row>
    <row r="98" spans="1:13" s="40" customFormat="1" x14ac:dyDescent="0.2">
      <c r="A98" s="90" t="s">
        <v>2909</v>
      </c>
      <c r="B98" s="39"/>
      <c r="C98" s="76">
        <v>143060</v>
      </c>
      <c r="D98" s="63"/>
      <c r="E98" s="76">
        <v>132452</v>
      </c>
      <c r="F98" s="63"/>
      <c r="G98" s="76">
        <v>137395</v>
      </c>
      <c r="I98" s="76">
        <v>133580</v>
      </c>
      <c r="K98" s="76">
        <v>134916</v>
      </c>
      <c r="M98" s="76"/>
    </row>
    <row r="99" spans="1:13" s="40" customFormat="1" x14ac:dyDescent="0.2">
      <c r="A99" s="90" t="s">
        <v>2906</v>
      </c>
      <c r="B99" s="39"/>
      <c r="C99" s="112">
        <v>8082</v>
      </c>
      <c r="D99" s="63"/>
      <c r="E99" s="76">
        <v>7764</v>
      </c>
      <c r="F99" s="63"/>
      <c r="G99" s="76">
        <v>8492</v>
      </c>
      <c r="I99" s="76">
        <v>7779</v>
      </c>
      <c r="K99" s="76">
        <v>7794</v>
      </c>
      <c r="M99" s="76"/>
    </row>
    <row r="100" spans="1:13" s="40" customFormat="1" x14ac:dyDescent="0.2">
      <c r="A100" s="41" t="s">
        <v>2942</v>
      </c>
      <c r="B100" s="39"/>
      <c r="C100" s="63"/>
      <c r="D100" s="63"/>
      <c r="E100" s="63"/>
      <c r="F100" s="63"/>
      <c r="G100" s="63"/>
      <c r="I100" s="63"/>
      <c r="K100" s="63"/>
      <c r="M100" s="63"/>
    </row>
    <row r="101" spans="1:13" s="40" customFormat="1" x14ac:dyDescent="0.2">
      <c r="A101" s="90" t="s">
        <v>2835</v>
      </c>
      <c r="B101" s="39"/>
      <c r="C101" s="76">
        <v>49009</v>
      </c>
      <c r="D101" s="63"/>
      <c r="E101" s="76">
        <v>47812</v>
      </c>
      <c r="F101" s="63"/>
      <c r="G101" s="76">
        <v>49009</v>
      </c>
      <c r="I101" s="76">
        <v>46856</v>
      </c>
      <c r="K101" s="76">
        <v>45919</v>
      </c>
      <c r="M101" s="76"/>
    </row>
    <row r="102" spans="1:13" s="40" customFormat="1" x14ac:dyDescent="0.2">
      <c r="A102" s="90" t="s">
        <v>2909</v>
      </c>
      <c r="B102" s="39"/>
      <c r="C102" s="76">
        <v>49036</v>
      </c>
      <c r="D102" s="63"/>
      <c r="E102" s="76">
        <v>47864</v>
      </c>
      <c r="F102" s="63"/>
      <c r="G102" s="76">
        <v>49036</v>
      </c>
      <c r="I102" s="76">
        <v>46894</v>
      </c>
      <c r="K102" s="76">
        <v>45956</v>
      </c>
      <c r="M102" s="76"/>
    </row>
    <row r="103" spans="1:13" s="40" customFormat="1" x14ac:dyDescent="0.2">
      <c r="A103" s="90" t="s">
        <v>2906</v>
      </c>
      <c r="B103" s="39"/>
      <c r="C103" s="112">
        <v>1646</v>
      </c>
      <c r="D103" s="63"/>
      <c r="E103" s="76">
        <v>1628</v>
      </c>
      <c r="F103" s="63"/>
      <c r="G103" s="76">
        <v>1592</v>
      </c>
      <c r="I103" s="76">
        <v>1590</v>
      </c>
      <c r="K103" s="76">
        <v>1553</v>
      </c>
      <c r="M103" s="76"/>
    </row>
    <row r="104" spans="1:13" s="40" customFormat="1" x14ac:dyDescent="0.2">
      <c r="A104" s="41" t="s">
        <v>2943</v>
      </c>
      <c r="B104" s="39"/>
      <c r="C104" s="63"/>
      <c r="D104" s="63"/>
      <c r="E104" s="63"/>
      <c r="F104" s="63"/>
      <c r="G104" s="63"/>
      <c r="I104" s="63"/>
      <c r="K104" s="63"/>
      <c r="M104" s="65"/>
    </row>
    <row r="105" spans="1:13" s="40" customFormat="1" x14ac:dyDescent="0.2">
      <c r="A105" s="90" t="s">
        <v>2835</v>
      </c>
      <c r="B105" s="39"/>
      <c r="C105" s="76">
        <v>4894</v>
      </c>
      <c r="D105" s="63"/>
      <c r="E105" s="76">
        <v>4357</v>
      </c>
      <c r="F105" s="63"/>
      <c r="G105" s="76">
        <v>4992</v>
      </c>
      <c r="I105" s="76">
        <v>4313</v>
      </c>
      <c r="K105" s="76">
        <v>4270</v>
      </c>
      <c r="M105" s="76"/>
    </row>
    <row r="106" spans="1:13" s="40" customFormat="1" x14ac:dyDescent="0.2">
      <c r="A106" s="90" t="s">
        <v>2909</v>
      </c>
      <c r="B106" s="39"/>
      <c r="C106" s="76">
        <v>5207</v>
      </c>
      <c r="D106" s="63"/>
      <c r="E106" s="76">
        <v>4755</v>
      </c>
      <c r="F106" s="63"/>
      <c r="G106" s="76">
        <v>5311</v>
      </c>
      <c r="I106" s="76">
        <v>4644</v>
      </c>
      <c r="K106" s="76">
        <v>4598</v>
      </c>
      <c r="M106" s="76"/>
    </row>
    <row r="107" spans="1:13" s="40" customFormat="1" x14ac:dyDescent="0.2">
      <c r="A107" s="90" t="s">
        <v>2906</v>
      </c>
      <c r="B107" s="39"/>
      <c r="C107" s="112">
        <v>5225</v>
      </c>
      <c r="D107" s="63"/>
      <c r="E107" s="76">
        <v>4818</v>
      </c>
      <c r="F107" s="63"/>
      <c r="G107" s="76">
        <v>4590</v>
      </c>
      <c r="I107" s="76">
        <v>4487</v>
      </c>
      <c r="K107" s="76">
        <v>4159</v>
      </c>
      <c r="M107" s="76"/>
    </row>
    <row r="108" spans="1:13" s="40" customFormat="1" x14ac:dyDescent="0.2">
      <c r="A108" s="41" t="s">
        <v>2944</v>
      </c>
      <c r="B108" s="39"/>
      <c r="C108" s="63"/>
      <c r="D108" s="63"/>
      <c r="E108" s="63"/>
      <c r="F108" s="63"/>
      <c r="G108" s="63"/>
      <c r="I108" s="63"/>
      <c r="K108" s="63"/>
      <c r="M108" s="63"/>
    </row>
    <row r="109" spans="1:13" s="40" customFormat="1" x14ac:dyDescent="0.2">
      <c r="A109" s="90" t="s">
        <v>2835</v>
      </c>
      <c r="B109" s="39"/>
      <c r="C109" s="76">
        <v>1931</v>
      </c>
      <c r="D109" s="63"/>
      <c r="E109" s="76">
        <v>2057</v>
      </c>
      <c r="F109" s="63"/>
      <c r="G109" s="76">
        <v>1931</v>
      </c>
      <c r="I109" s="76">
        <v>2119</v>
      </c>
      <c r="K109" s="76">
        <v>2183</v>
      </c>
      <c r="M109" s="76"/>
    </row>
    <row r="110" spans="1:13" s="40" customFormat="1" x14ac:dyDescent="0.2">
      <c r="A110" s="90" t="s">
        <v>2909</v>
      </c>
      <c r="B110" s="39"/>
      <c r="C110" s="76">
        <v>1954</v>
      </c>
      <c r="D110" s="63"/>
      <c r="E110" s="76">
        <v>1980</v>
      </c>
      <c r="F110" s="63"/>
      <c r="G110" s="76">
        <v>1954</v>
      </c>
      <c r="I110" s="76">
        <v>2090</v>
      </c>
      <c r="K110" s="76">
        <v>2153</v>
      </c>
      <c r="M110" s="76"/>
    </row>
    <row r="111" spans="1:13" s="40" customFormat="1" x14ac:dyDescent="0.2">
      <c r="A111" s="90" t="s">
        <v>2906</v>
      </c>
      <c r="B111" s="39"/>
      <c r="C111" s="112">
        <v>480</v>
      </c>
      <c r="D111" s="63"/>
      <c r="E111" s="76">
        <v>556</v>
      </c>
      <c r="F111" s="63"/>
      <c r="G111" s="76">
        <v>434</v>
      </c>
      <c r="I111" s="76">
        <v>585</v>
      </c>
      <c r="K111" s="76">
        <v>615</v>
      </c>
      <c r="M111" s="76"/>
    </row>
    <row r="112" spans="1:13" s="40" customFormat="1" x14ac:dyDescent="0.2">
      <c r="A112" s="41" t="s">
        <v>2945</v>
      </c>
      <c r="B112" s="39"/>
      <c r="C112" s="63"/>
      <c r="D112" s="63"/>
      <c r="E112" s="63"/>
      <c r="F112" s="63"/>
      <c r="G112" s="63"/>
      <c r="I112" s="63"/>
      <c r="K112" s="63"/>
      <c r="M112" s="63"/>
    </row>
    <row r="113" spans="1:14" s="40" customFormat="1" x14ac:dyDescent="0.2">
      <c r="A113" s="90" t="s">
        <v>2835</v>
      </c>
      <c r="B113" s="39"/>
      <c r="C113" s="76">
        <v>4798</v>
      </c>
      <c r="D113" s="63"/>
      <c r="E113" s="76">
        <v>4112</v>
      </c>
      <c r="F113" s="63"/>
      <c r="G113" s="76">
        <v>4703</v>
      </c>
      <c r="I113" s="76">
        <v>3865</v>
      </c>
      <c r="K113" s="76">
        <v>3633</v>
      </c>
      <c r="M113" s="76"/>
    </row>
    <row r="114" spans="1:14" s="40" customFormat="1" x14ac:dyDescent="0.2">
      <c r="A114" s="90" t="s">
        <v>2909</v>
      </c>
      <c r="B114" s="39"/>
      <c r="C114" s="76">
        <v>5120</v>
      </c>
      <c r="D114" s="63"/>
      <c r="E114" s="76">
        <v>4890</v>
      </c>
      <c r="F114" s="63"/>
      <c r="G114" s="76">
        <v>5019</v>
      </c>
      <c r="I114" s="76">
        <v>4342</v>
      </c>
      <c r="K114" s="76">
        <v>4082</v>
      </c>
      <c r="M114" s="76"/>
    </row>
    <row r="115" spans="1:14" s="40" customFormat="1" x14ac:dyDescent="0.2">
      <c r="A115" s="90" t="s">
        <v>2906</v>
      </c>
      <c r="B115" s="39"/>
      <c r="C115" s="112">
        <v>7839</v>
      </c>
      <c r="D115" s="63"/>
      <c r="E115" s="76">
        <v>7115</v>
      </c>
      <c r="F115" s="63"/>
      <c r="G115" s="76">
        <v>7204</v>
      </c>
      <c r="I115" s="76">
        <v>6638</v>
      </c>
      <c r="K115" s="76">
        <v>6189</v>
      </c>
      <c r="M115" s="76"/>
    </row>
    <row r="116" spans="1:14" s="40" customFormat="1" x14ac:dyDescent="0.2">
      <c r="A116" s="41" t="s">
        <v>2946</v>
      </c>
      <c r="B116" s="39"/>
      <c r="C116" s="63"/>
      <c r="D116" s="63"/>
      <c r="E116" s="63"/>
      <c r="F116" s="63"/>
      <c r="G116" s="63"/>
      <c r="I116" s="63"/>
      <c r="K116" s="63"/>
      <c r="M116" s="63"/>
    </row>
    <row r="117" spans="1:14" s="40" customFormat="1" x14ac:dyDescent="0.2">
      <c r="A117" s="90" t="s">
        <v>2835</v>
      </c>
      <c r="B117" s="39"/>
      <c r="C117" s="76">
        <v>302</v>
      </c>
      <c r="D117" s="63"/>
      <c r="E117" s="76">
        <v>254</v>
      </c>
      <c r="F117" s="63"/>
      <c r="G117" s="76">
        <v>250</v>
      </c>
      <c r="I117" s="76">
        <v>226</v>
      </c>
      <c r="K117" s="76">
        <v>201</v>
      </c>
      <c r="M117" s="76"/>
    </row>
    <row r="118" spans="1:14" s="40" customFormat="1" x14ac:dyDescent="0.2">
      <c r="A118" s="90" t="s">
        <v>2909</v>
      </c>
      <c r="B118" s="39"/>
      <c r="C118" s="76">
        <v>306</v>
      </c>
      <c r="D118" s="63"/>
      <c r="E118" s="76">
        <v>255</v>
      </c>
      <c r="F118" s="63"/>
      <c r="G118" s="76">
        <v>250</v>
      </c>
      <c r="I118" s="76">
        <v>226</v>
      </c>
      <c r="K118" s="76">
        <v>201</v>
      </c>
      <c r="M118" s="76"/>
    </row>
    <row r="119" spans="1:14" s="40" customFormat="1" x14ac:dyDescent="0.2">
      <c r="A119" s="90" t="s">
        <v>2906</v>
      </c>
      <c r="B119" s="39"/>
      <c r="C119" s="112">
        <v>12</v>
      </c>
      <c r="D119" s="63"/>
      <c r="E119" s="76">
        <v>11</v>
      </c>
      <c r="F119" s="63"/>
      <c r="G119" s="76">
        <v>12</v>
      </c>
      <c r="I119" s="76">
        <v>11</v>
      </c>
      <c r="K119" s="76">
        <v>11</v>
      </c>
      <c r="M119" s="76"/>
      <c r="N119" s="63"/>
    </row>
    <row r="120" spans="1:14" s="40" customFormat="1" x14ac:dyDescent="0.2">
      <c r="A120" s="41" t="s">
        <v>2947</v>
      </c>
      <c r="B120" s="39"/>
      <c r="C120" s="63"/>
      <c r="D120" s="63"/>
      <c r="E120" s="63"/>
      <c r="F120" s="63"/>
      <c r="G120" s="63"/>
      <c r="I120" s="63"/>
      <c r="K120" s="63"/>
      <c r="M120" s="63"/>
    </row>
    <row r="121" spans="1:14" s="40" customFormat="1" x14ac:dyDescent="0.2">
      <c r="A121" s="90" t="s">
        <v>2835</v>
      </c>
      <c r="B121" s="39"/>
      <c r="C121" s="76">
        <v>683</v>
      </c>
      <c r="D121" s="63"/>
      <c r="E121" s="76">
        <v>638</v>
      </c>
      <c r="F121" s="63"/>
      <c r="G121" s="76">
        <v>683</v>
      </c>
      <c r="I121" s="76">
        <v>632</v>
      </c>
      <c r="K121" s="76">
        <v>626</v>
      </c>
      <c r="M121" s="76"/>
    </row>
    <row r="122" spans="1:14" s="40" customFormat="1" x14ac:dyDescent="0.2">
      <c r="A122" s="90" t="s">
        <v>2909</v>
      </c>
      <c r="B122" s="39"/>
      <c r="C122" s="76">
        <v>679</v>
      </c>
      <c r="D122" s="63"/>
      <c r="E122" s="76">
        <v>675</v>
      </c>
      <c r="F122" s="63"/>
      <c r="G122" s="76">
        <v>683</v>
      </c>
      <c r="I122" s="76">
        <v>632</v>
      </c>
      <c r="K122" s="76">
        <v>626</v>
      </c>
      <c r="M122" s="76"/>
    </row>
    <row r="123" spans="1:14" s="40" customFormat="1" x14ac:dyDescent="0.2">
      <c r="A123" s="90" t="s">
        <v>2906</v>
      </c>
      <c r="B123" s="39"/>
      <c r="C123" s="112">
        <v>119</v>
      </c>
      <c r="D123" s="63"/>
      <c r="E123" s="76">
        <v>80</v>
      </c>
      <c r="F123" s="63"/>
      <c r="G123" s="76">
        <v>119</v>
      </c>
      <c r="I123" s="76">
        <v>80</v>
      </c>
      <c r="K123" s="76">
        <v>80</v>
      </c>
      <c r="M123" s="76"/>
    </row>
    <row r="124" spans="1:14" s="40" customFormat="1" x14ac:dyDescent="0.2">
      <c r="A124" s="41" t="s">
        <v>2948</v>
      </c>
      <c r="B124" s="39"/>
      <c r="C124" s="63"/>
      <c r="D124" s="63"/>
      <c r="E124" s="63"/>
      <c r="F124" s="63"/>
      <c r="G124" s="63"/>
      <c r="I124" s="63"/>
      <c r="K124" s="63"/>
      <c r="M124" s="63"/>
    </row>
    <row r="125" spans="1:14" s="40" customFormat="1" x14ac:dyDescent="0.2">
      <c r="A125" s="90" t="s">
        <v>2835</v>
      </c>
      <c r="B125" s="39"/>
      <c r="C125" s="76">
        <v>1050</v>
      </c>
      <c r="D125" s="63"/>
      <c r="E125" s="76">
        <v>1019</v>
      </c>
      <c r="F125" s="63"/>
      <c r="G125" s="76">
        <v>1072</v>
      </c>
      <c r="I125" s="76">
        <v>988</v>
      </c>
      <c r="K125" s="76">
        <v>958</v>
      </c>
      <c r="M125" s="76"/>
    </row>
    <row r="126" spans="1:14" s="40" customFormat="1" x14ac:dyDescent="0.2">
      <c r="A126" s="90" t="s">
        <v>2909</v>
      </c>
      <c r="B126" s="39"/>
      <c r="C126" s="76">
        <v>1080</v>
      </c>
      <c r="D126" s="63"/>
      <c r="E126" s="76">
        <v>1099</v>
      </c>
      <c r="F126" s="63"/>
      <c r="G126" s="76">
        <v>1103</v>
      </c>
      <c r="I126" s="76">
        <v>1041</v>
      </c>
      <c r="K126" s="76">
        <v>1009</v>
      </c>
      <c r="M126" s="76"/>
    </row>
    <row r="127" spans="1:14" s="40" customFormat="1" x14ac:dyDescent="0.2">
      <c r="A127" s="90" t="s">
        <v>2906</v>
      </c>
      <c r="B127" s="39"/>
      <c r="C127" s="76">
        <v>634</v>
      </c>
      <c r="D127" s="63"/>
      <c r="E127" s="76">
        <v>553</v>
      </c>
      <c r="F127" s="63"/>
      <c r="G127" s="76">
        <v>573</v>
      </c>
      <c r="I127" s="76">
        <v>500</v>
      </c>
      <c r="K127" s="76">
        <v>449</v>
      </c>
      <c r="M127" s="76"/>
    </row>
    <row r="128" spans="1:14" s="40" customFormat="1" x14ac:dyDescent="0.2">
      <c r="A128" s="41" t="s">
        <v>2949</v>
      </c>
      <c r="B128" s="39"/>
      <c r="C128" s="65"/>
      <c r="D128" s="63"/>
      <c r="E128" s="65"/>
      <c r="F128" s="63"/>
      <c r="G128" s="65"/>
      <c r="I128" s="65"/>
      <c r="K128" s="65"/>
      <c r="M128" s="65"/>
    </row>
    <row r="129" spans="1:13" s="40" customFormat="1" x14ac:dyDescent="0.2">
      <c r="A129" s="90" t="s">
        <v>2835</v>
      </c>
      <c r="B129" s="39"/>
      <c r="C129" s="76">
        <v>7586</v>
      </c>
      <c r="D129" s="63"/>
      <c r="E129" s="76">
        <v>7610</v>
      </c>
      <c r="F129" s="63"/>
      <c r="G129" s="76">
        <v>8048</v>
      </c>
      <c r="I129" s="76">
        <v>7534</v>
      </c>
      <c r="K129" s="76">
        <v>7459</v>
      </c>
      <c r="M129" s="76"/>
    </row>
    <row r="130" spans="1:13" s="40" customFormat="1" x14ac:dyDescent="0.2">
      <c r="A130" s="90" t="s">
        <v>2909</v>
      </c>
      <c r="B130" s="39"/>
      <c r="C130" s="76">
        <v>7432</v>
      </c>
      <c r="D130" s="63"/>
      <c r="E130" s="76">
        <v>7596</v>
      </c>
      <c r="F130" s="63"/>
      <c r="G130" s="76">
        <v>7885</v>
      </c>
      <c r="I130" s="76">
        <v>7451</v>
      </c>
      <c r="K130" s="76">
        <v>7377</v>
      </c>
      <c r="M130" s="76"/>
    </row>
    <row r="131" spans="1:13" s="40" customFormat="1" x14ac:dyDescent="0.2">
      <c r="A131" s="90" t="s">
        <v>2906</v>
      </c>
      <c r="B131" s="39"/>
      <c r="C131" s="112">
        <v>711</v>
      </c>
      <c r="D131" s="63"/>
      <c r="E131" s="76">
        <v>717</v>
      </c>
      <c r="F131" s="63"/>
      <c r="G131" s="76">
        <v>1033</v>
      </c>
      <c r="I131" s="76">
        <v>800</v>
      </c>
      <c r="K131" s="76">
        <v>882</v>
      </c>
      <c r="M131" s="76"/>
    </row>
    <row r="132" spans="1:13" s="40" customFormat="1" x14ac:dyDescent="0.2">
      <c r="A132" s="41" t="s">
        <v>2950</v>
      </c>
      <c r="B132" s="39"/>
      <c r="C132" s="65"/>
      <c r="D132" s="63"/>
      <c r="E132" s="65"/>
      <c r="F132" s="63"/>
      <c r="G132" s="63"/>
      <c r="I132" s="63"/>
      <c r="K132" s="63"/>
      <c r="M132" s="65"/>
    </row>
    <row r="133" spans="1:13" s="40" customFormat="1" x14ac:dyDescent="0.2">
      <c r="A133" s="90" t="s">
        <v>2835</v>
      </c>
      <c r="B133" s="39"/>
      <c r="C133" s="76">
        <v>813767</v>
      </c>
      <c r="D133" s="63"/>
      <c r="E133" s="76">
        <v>813495</v>
      </c>
      <c r="F133" s="63"/>
      <c r="G133" s="76">
        <v>760257</v>
      </c>
      <c r="I133" s="76">
        <v>817354</v>
      </c>
      <c r="K133" s="76">
        <v>821675</v>
      </c>
      <c r="M133" s="76"/>
    </row>
    <row r="134" spans="1:13" s="40" customFormat="1" x14ac:dyDescent="0.2">
      <c r="A134" s="90" t="s">
        <v>2909</v>
      </c>
      <c r="B134" s="39"/>
      <c r="C134" s="76">
        <v>819696</v>
      </c>
      <c r="D134" s="63"/>
      <c r="E134" s="76">
        <v>816827</v>
      </c>
      <c r="F134" s="63"/>
      <c r="G134" s="76">
        <v>764836</v>
      </c>
      <c r="I134" s="76">
        <v>821420</v>
      </c>
      <c r="K134" s="76">
        <v>825622</v>
      </c>
      <c r="M134" s="76"/>
    </row>
    <row r="135" spans="1:13" s="40" customFormat="1" x14ac:dyDescent="0.2">
      <c r="A135" s="90" t="s">
        <v>2906</v>
      </c>
      <c r="B135" s="39"/>
      <c r="C135" s="112">
        <v>198839</v>
      </c>
      <c r="D135" s="111"/>
      <c r="E135" s="112">
        <v>196384</v>
      </c>
      <c r="F135" s="111"/>
      <c r="G135" s="112">
        <v>189860</v>
      </c>
      <c r="I135" s="112">
        <v>193551</v>
      </c>
      <c r="K135" s="76">
        <v>190861</v>
      </c>
      <c r="M135" s="76"/>
    </row>
    <row r="136" spans="1:13" s="40" customFormat="1" x14ac:dyDescent="0.2">
      <c r="A136" s="41" t="s">
        <v>2951</v>
      </c>
      <c r="B136" s="39"/>
      <c r="C136" s="65"/>
      <c r="D136" s="63"/>
      <c r="E136" s="65"/>
      <c r="F136" s="63"/>
      <c r="G136" s="63"/>
      <c r="I136" s="63"/>
      <c r="K136" s="63"/>
      <c r="M136" s="65"/>
    </row>
    <row r="137" spans="1:13" s="40" customFormat="1" x14ac:dyDescent="0.2">
      <c r="A137" s="90" t="s">
        <v>2952</v>
      </c>
      <c r="B137" s="39"/>
      <c r="C137" s="112">
        <v>3068</v>
      </c>
      <c r="D137" s="111"/>
      <c r="E137" s="112">
        <v>3026</v>
      </c>
      <c r="F137" s="111"/>
      <c r="G137" s="112">
        <v>3086</v>
      </c>
      <c r="I137" s="112">
        <v>2840</v>
      </c>
      <c r="K137" s="76">
        <v>4640</v>
      </c>
      <c r="M137" s="76"/>
    </row>
    <row r="138" spans="1:13" s="40" customFormat="1" x14ac:dyDescent="0.2">
      <c r="A138" s="90" t="s">
        <v>2953</v>
      </c>
      <c r="B138" s="39"/>
      <c r="C138" s="112">
        <v>184080</v>
      </c>
      <c r="D138" s="111"/>
      <c r="E138" s="112">
        <v>181560</v>
      </c>
      <c r="F138" s="111"/>
      <c r="G138" s="112">
        <v>185160</v>
      </c>
      <c r="I138" s="112">
        <v>170400</v>
      </c>
      <c r="K138" s="76">
        <v>278400</v>
      </c>
      <c r="M138" s="76"/>
    </row>
    <row r="139" spans="1:13" s="37" customFormat="1" x14ac:dyDescent="0.2">
      <c r="A139" s="35" t="s">
        <v>2954</v>
      </c>
      <c r="B139" s="36"/>
      <c r="C139" s="88"/>
      <c r="D139" s="87"/>
      <c r="E139" s="88"/>
      <c r="F139" s="87"/>
      <c r="G139" s="87"/>
      <c r="I139" s="87"/>
      <c r="K139" s="87"/>
      <c r="M139" s="88"/>
    </row>
    <row r="140" spans="1:13" s="40" customFormat="1" x14ac:dyDescent="0.2">
      <c r="A140" s="41" t="s">
        <v>2955</v>
      </c>
      <c r="B140" s="39"/>
      <c r="C140" s="76"/>
      <c r="D140" s="63"/>
      <c r="E140" s="76"/>
      <c r="F140" s="63"/>
      <c r="G140" s="63"/>
      <c r="I140" s="63"/>
      <c r="K140" s="63"/>
      <c r="M140" s="76"/>
    </row>
    <row r="141" spans="1:13" s="40" customFormat="1" x14ac:dyDescent="0.2">
      <c r="A141" s="90" t="s">
        <v>2956</v>
      </c>
      <c r="B141" s="39"/>
      <c r="C141" s="76">
        <v>193679</v>
      </c>
      <c r="D141" s="63"/>
      <c r="E141" s="76">
        <v>190441</v>
      </c>
      <c r="F141" s="63"/>
      <c r="G141" s="76">
        <v>208544</v>
      </c>
      <c r="I141" s="76">
        <v>187257</v>
      </c>
      <c r="K141" s="76">
        <v>184111</v>
      </c>
      <c r="M141" s="76"/>
    </row>
    <row r="142" spans="1:13" s="40" customFormat="1" x14ac:dyDescent="0.2">
      <c r="A142" s="90" t="s">
        <v>2957</v>
      </c>
      <c r="B142" s="39"/>
      <c r="C142" s="76">
        <v>464965</v>
      </c>
      <c r="D142" s="63"/>
      <c r="E142" s="76">
        <v>470138</v>
      </c>
      <c r="F142" s="63"/>
      <c r="G142" s="76">
        <v>545157</v>
      </c>
      <c r="I142" s="76">
        <v>475357</v>
      </c>
      <c r="K142" s="76">
        <v>480633</v>
      </c>
      <c r="M142" s="76"/>
    </row>
    <row r="143" spans="1:13" s="40" customFormat="1" x14ac:dyDescent="0.2">
      <c r="A143" s="90" t="s">
        <v>2958</v>
      </c>
      <c r="B143" s="39"/>
      <c r="C143" s="112">
        <v>220968</v>
      </c>
      <c r="D143" s="63"/>
      <c r="E143" s="76">
        <v>213374</v>
      </c>
      <c r="F143" s="63"/>
      <c r="G143" s="76">
        <v>237015</v>
      </c>
      <c r="I143" s="76">
        <v>206040</v>
      </c>
      <c r="K143" s="76">
        <v>198973</v>
      </c>
      <c r="M143" s="76"/>
    </row>
    <row r="144" spans="1:13" s="40" customFormat="1" x14ac:dyDescent="0.2">
      <c r="A144" s="41" t="s">
        <v>2959</v>
      </c>
      <c r="B144" s="39"/>
      <c r="C144" s="63"/>
      <c r="D144" s="63"/>
      <c r="E144" s="63"/>
      <c r="F144" s="63"/>
      <c r="G144" s="63"/>
      <c r="I144" s="63"/>
      <c r="K144" s="63"/>
      <c r="M144" s="63"/>
    </row>
    <row r="145" spans="1:14" s="40" customFormat="1" x14ac:dyDescent="0.2">
      <c r="A145" s="90" t="s">
        <v>2960</v>
      </c>
      <c r="B145" s="39"/>
      <c r="C145" s="76">
        <v>32940</v>
      </c>
      <c r="D145" s="63"/>
      <c r="E145" s="76">
        <v>30771</v>
      </c>
      <c r="F145" s="63"/>
      <c r="G145" s="76">
        <v>33850</v>
      </c>
      <c r="I145" s="76">
        <v>28745</v>
      </c>
      <c r="K145" s="76">
        <v>30638</v>
      </c>
      <c r="M145" s="76"/>
    </row>
    <row r="146" spans="1:14" s="40" customFormat="1" x14ac:dyDescent="0.2">
      <c r="A146" s="90" t="s">
        <v>2961</v>
      </c>
      <c r="B146" s="39"/>
      <c r="C146" s="76">
        <v>2430623</v>
      </c>
      <c r="D146" s="63"/>
      <c r="E146" s="76">
        <v>2471933</v>
      </c>
      <c r="F146" s="63"/>
      <c r="G146" s="76">
        <v>2074312</v>
      </c>
      <c r="I146" s="76">
        <v>2513945</v>
      </c>
      <c r="K146" s="76">
        <v>2556671</v>
      </c>
      <c r="M146" s="76"/>
    </row>
    <row r="147" spans="1:14" s="40" customFormat="1" x14ac:dyDescent="0.2">
      <c r="A147" s="90" t="s">
        <v>2962</v>
      </c>
      <c r="B147" s="39"/>
      <c r="C147" s="76">
        <v>2556670</v>
      </c>
      <c r="D147" s="63"/>
      <c r="E147" s="76">
        <v>2640437</v>
      </c>
      <c r="F147" s="63"/>
      <c r="G147" s="76">
        <v>2871372</v>
      </c>
      <c r="I147" s="76">
        <v>2724930</v>
      </c>
      <c r="K147" s="76">
        <v>2814209</v>
      </c>
      <c r="M147" s="76"/>
    </row>
    <row r="148" spans="1:14" s="40" customFormat="1" x14ac:dyDescent="0.2">
      <c r="A148" s="41" t="s">
        <v>1021</v>
      </c>
      <c r="B148" s="39"/>
      <c r="C148" s="112">
        <v>5899845</v>
      </c>
      <c r="D148" s="63"/>
      <c r="E148" s="76">
        <v>6017094</v>
      </c>
      <c r="F148" s="63"/>
      <c r="G148" s="76">
        <v>5970250</v>
      </c>
      <c r="I148" s="76">
        <v>6136274</v>
      </c>
      <c r="K148" s="76">
        <v>6265235</v>
      </c>
      <c r="M148" s="1543"/>
      <c r="N148" s="1544"/>
    </row>
    <row r="149" spans="1:14" s="37" customFormat="1" x14ac:dyDescent="0.2">
      <c r="A149" s="35" t="s">
        <v>2963</v>
      </c>
      <c r="B149" s="36"/>
      <c r="C149" s="87"/>
      <c r="D149" s="87"/>
      <c r="E149" s="87"/>
      <c r="F149" s="87"/>
      <c r="G149" s="87"/>
      <c r="I149" s="87"/>
      <c r="K149" s="87"/>
      <c r="M149" s="87"/>
    </row>
    <row r="150" spans="1:14" s="40" customFormat="1" x14ac:dyDescent="0.2">
      <c r="A150" s="41" t="s">
        <v>2964</v>
      </c>
      <c r="B150" s="39"/>
      <c r="C150" s="76">
        <v>61612</v>
      </c>
      <c r="D150" s="63"/>
      <c r="E150" s="76">
        <v>60118</v>
      </c>
      <c r="F150" s="63"/>
      <c r="G150" s="76">
        <v>66000</v>
      </c>
      <c r="I150" s="76">
        <v>59609</v>
      </c>
      <c r="K150" s="76">
        <v>62000</v>
      </c>
      <c r="M150" s="76"/>
    </row>
    <row r="151" spans="1:14" s="40" customFormat="1" x14ac:dyDescent="0.2">
      <c r="A151" s="41" t="s">
        <v>2965</v>
      </c>
      <c r="B151" s="39"/>
      <c r="C151" s="76">
        <v>5039</v>
      </c>
      <c r="D151" s="63"/>
      <c r="E151" s="76">
        <v>4635</v>
      </c>
      <c r="F151" s="63"/>
      <c r="G151" s="76">
        <v>4650</v>
      </c>
      <c r="I151" s="76">
        <v>4376</v>
      </c>
      <c r="K151" s="76">
        <v>4650</v>
      </c>
      <c r="M151" s="76"/>
    </row>
    <row r="152" spans="1:14" s="40" customFormat="1" x14ac:dyDescent="0.2">
      <c r="A152" s="41" t="s">
        <v>2966</v>
      </c>
      <c r="B152" s="39"/>
      <c r="C152" s="76">
        <v>40128</v>
      </c>
      <c r="D152" s="63"/>
      <c r="E152" s="76">
        <v>42335</v>
      </c>
      <c r="F152" s="63"/>
      <c r="G152" s="76">
        <v>41500</v>
      </c>
      <c r="I152" s="76">
        <v>41500</v>
      </c>
      <c r="K152" s="76">
        <v>41000</v>
      </c>
      <c r="M152" s="76"/>
    </row>
    <row r="153" spans="1:14" s="40" customFormat="1" x14ac:dyDescent="0.2">
      <c r="A153" s="41" t="s">
        <v>2967</v>
      </c>
      <c r="B153" s="39"/>
      <c r="C153" s="63"/>
      <c r="D153" s="63"/>
      <c r="E153" s="63"/>
      <c r="F153" s="63"/>
      <c r="G153" s="63"/>
      <c r="I153" s="63"/>
      <c r="K153" s="63"/>
      <c r="M153" s="63"/>
    </row>
    <row r="154" spans="1:14" s="40" customFormat="1" x14ac:dyDescent="0.2">
      <c r="A154" s="90" t="s">
        <v>527</v>
      </c>
      <c r="B154" s="39"/>
      <c r="C154" s="76">
        <v>1172</v>
      </c>
      <c r="D154" s="63"/>
      <c r="E154" s="76">
        <v>1131</v>
      </c>
      <c r="F154" s="63"/>
      <c r="G154" s="76">
        <v>1200</v>
      </c>
      <c r="I154" s="76">
        <v>1150</v>
      </c>
      <c r="K154" s="76">
        <v>1150</v>
      </c>
      <c r="M154" s="76"/>
    </row>
    <row r="155" spans="1:14" s="40" customFormat="1" x14ac:dyDescent="0.2">
      <c r="A155" s="90" t="s">
        <v>2968</v>
      </c>
      <c r="B155" s="39"/>
      <c r="C155" s="76">
        <v>2632</v>
      </c>
      <c r="D155" s="63"/>
      <c r="E155" s="76">
        <v>2507</v>
      </c>
      <c r="F155" s="63"/>
      <c r="G155" s="76">
        <v>2630</v>
      </c>
      <c r="I155" s="76">
        <v>2550</v>
      </c>
      <c r="K155" s="76">
        <v>2550</v>
      </c>
      <c r="M155" s="76"/>
    </row>
    <row r="156" spans="1:14" s="40" customFormat="1" x14ac:dyDescent="0.2">
      <c r="A156" s="90" t="s">
        <v>2969</v>
      </c>
      <c r="B156" s="39"/>
      <c r="C156" s="112">
        <v>1339</v>
      </c>
      <c r="D156" s="111"/>
      <c r="E156" s="112">
        <v>1242</v>
      </c>
      <c r="F156" s="111"/>
      <c r="G156" s="112">
        <v>1340</v>
      </c>
      <c r="I156" s="112">
        <v>1300</v>
      </c>
      <c r="K156" s="76">
        <v>1300</v>
      </c>
      <c r="M156" s="76"/>
    </row>
    <row r="157" spans="1:14" s="40" customFormat="1" x14ac:dyDescent="0.2">
      <c r="A157" s="90" t="s">
        <v>2970</v>
      </c>
      <c r="B157" s="39"/>
      <c r="C157" s="112">
        <v>4377</v>
      </c>
      <c r="D157" s="111"/>
      <c r="E157" s="112">
        <v>4594</v>
      </c>
      <c r="F157" s="111"/>
      <c r="G157" s="112">
        <v>4400</v>
      </c>
      <c r="I157" s="112">
        <v>4600</v>
      </c>
      <c r="K157" s="76">
        <v>4400</v>
      </c>
      <c r="M157" s="76"/>
    </row>
    <row r="158" spans="1:14" s="40" customFormat="1" x14ac:dyDescent="0.2">
      <c r="A158" s="90" t="s">
        <v>2971</v>
      </c>
      <c r="B158" s="39"/>
      <c r="C158" s="76">
        <v>466</v>
      </c>
      <c r="D158" s="63"/>
      <c r="E158" s="76">
        <v>439</v>
      </c>
      <c r="F158" s="63"/>
      <c r="G158" s="76">
        <v>470</v>
      </c>
      <c r="I158" s="76">
        <v>430</v>
      </c>
      <c r="K158" s="76">
        <v>430</v>
      </c>
      <c r="M158" s="76"/>
    </row>
    <row r="159" spans="1:14" s="40" customFormat="1" x14ac:dyDescent="0.2">
      <c r="A159" s="41" t="s">
        <v>2972</v>
      </c>
      <c r="B159" s="39"/>
      <c r="C159" s="63"/>
      <c r="D159" s="63"/>
      <c r="E159" s="63"/>
      <c r="F159" s="63"/>
      <c r="G159" s="63"/>
      <c r="I159" s="63"/>
      <c r="K159" s="63"/>
      <c r="M159" s="63"/>
    </row>
    <row r="160" spans="1:14" s="40" customFormat="1" x14ac:dyDescent="0.2">
      <c r="A160" s="90" t="s">
        <v>527</v>
      </c>
      <c r="B160" s="39"/>
      <c r="C160" s="112">
        <v>416</v>
      </c>
      <c r="D160" s="111"/>
      <c r="E160" s="112">
        <v>450</v>
      </c>
      <c r="F160" s="111"/>
      <c r="G160" s="112">
        <v>425</v>
      </c>
      <c r="I160" s="112">
        <v>375</v>
      </c>
      <c r="K160" s="76">
        <v>400</v>
      </c>
      <c r="M160" s="76"/>
    </row>
    <row r="161" spans="1:13" s="40" customFormat="1" x14ac:dyDescent="0.2">
      <c r="A161" s="90" t="s">
        <v>1776</v>
      </c>
      <c r="B161" s="39"/>
      <c r="C161" s="112">
        <v>262</v>
      </c>
      <c r="D161" s="111"/>
      <c r="E161" s="112">
        <v>400</v>
      </c>
      <c r="F161" s="111"/>
      <c r="G161" s="112">
        <v>375</v>
      </c>
      <c r="I161" s="112">
        <v>300</v>
      </c>
      <c r="K161" s="76">
        <v>300</v>
      </c>
      <c r="M161" s="76"/>
    </row>
    <row r="162" spans="1:13" s="40" customFormat="1" x14ac:dyDescent="0.2">
      <c r="A162" s="90" t="s">
        <v>2973</v>
      </c>
      <c r="B162" s="39"/>
      <c r="C162" s="112">
        <v>262</v>
      </c>
      <c r="D162" s="111"/>
      <c r="E162" s="112">
        <v>400</v>
      </c>
      <c r="F162" s="111"/>
      <c r="G162" s="112">
        <v>375</v>
      </c>
      <c r="I162" s="112">
        <v>300</v>
      </c>
      <c r="K162" s="76">
        <v>300</v>
      </c>
      <c r="M162" s="76"/>
    </row>
    <row r="163" spans="1:13" s="40" customFormat="1" x14ac:dyDescent="0.2">
      <c r="A163" s="90" t="s">
        <v>2974</v>
      </c>
      <c r="B163" s="39"/>
      <c r="C163" s="112">
        <v>82</v>
      </c>
      <c r="D163" s="111"/>
      <c r="E163" s="112">
        <v>87</v>
      </c>
      <c r="F163" s="111"/>
      <c r="G163" s="112">
        <v>85</v>
      </c>
      <c r="I163" s="112">
        <v>98</v>
      </c>
      <c r="K163" s="76">
        <v>105</v>
      </c>
      <c r="M163" s="76"/>
    </row>
    <row r="164" spans="1:13" s="40" customFormat="1" x14ac:dyDescent="0.2">
      <c r="A164" s="41" t="s">
        <v>2975</v>
      </c>
      <c r="B164" s="39"/>
      <c r="C164" s="63"/>
      <c r="D164" s="63"/>
      <c r="E164" s="63"/>
      <c r="F164" s="63"/>
      <c r="G164" s="63"/>
      <c r="I164" s="63"/>
      <c r="K164" s="63"/>
      <c r="M164" s="63"/>
    </row>
    <row r="165" spans="1:13" s="40" customFormat="1" x14ac:dyDescent="0.2">
      <c r="A165" s="90" t="s">
        <v>2976</v>
      </c>
      <c r="B165" s="39"/>
      <c r="C165" s="76">
        <v>301465</v>
      </c>
      <c r="D165" s="63"/>
      <c r="E165" s="76">
        <v>295119</v>
      </c>
      <c r="F165" s="63"/>
      <c r="G165" s="76">
        <v>280000</v>
      </c>
      <c r="I165" s="76">
        <v>285000</v>
      </c>
      <c r="K165" s="76">
        <v>283000</v>
      </c>
      <c r="M165" s="76"/>
    </row>
    <row r="166" spans="1:13" s="40" customFormat="1" x14ac:dyDescent="0.2">
      <c r="A166" s="90" t="s">
        <v>2534</v>
      </c>
      <c r="B166" s="39"/>
      <c r="C166" s="97">
        <v>1364559424</v>
      </c>
      <c r="D166" s="63"/>
      <c r="E166" s="97">
        <v>1358694217</v>
      </c>
      <c r="F166" s="63"/>
      <c r="G166" s="97">
        <v>1337385095</v>
      </c>
      <c r="I166" s="97">
        <v>1345000000</v>
      </c>
      <c r="K166" s="97">
        <v>1342000000</v>
      </c>
      <c r="M166" s="97"/>
    </row>
    <row r="167" spans="1:13" s="40" customFormat="1" x14ac:dyDescent="0.2">
      <c r="A167" s="90"/>
      <c r="B167" s="39"/>
      <c r="C167" s="63"/>
      <c r="D167" s="63"/>
      <c r="E167" s="63"/>
      <c r="F167" s="63"/>
      <c r="G167" s="63"/>
      <c r="I167" s="63"/>
      <c r="K167" s="63"/>
      <c r="M167" s="63"/>
    </row>
    <row r="168" spans="1:13" s="37" customFormat="1" x14ac:dyDescent="0.2">
      <c r="A168" s="35" t="s">
        <v>194</v>
      </c>
      <c r="B168" s="36"/>
      <c r="C168" s="87"/>
      <c r="D168" s="87"/>
      <c r="E168" s="87"/>
      <c r="F168" s="87"/>
      <c r="G168" s="87"/>
      <c r="I168" s="87"/>
      <c r="K168" s="87"/>
      <c r="M168" s="87"/>
    </row>
    <row r="169" spans="1:13" s="40" customFormat="1" x14ac:dyDescent="0.2">
      <c r="A169" s="38" t="s">
        <v>254</v>
      </c>
      <c r="B169" s="39"/>
      <c r="C169" s="63"/>
      <c r="D169" s="63"/>
      <c r="E169" s="63"/>
      <c r="F169" s="63"/>
      <c r="G169" s="63"/>
      <c r="I169" s="63"/>
      <c r="K169" s="63"/>
      <c r="M169" s="63"/>
    </row>
    <row r="170" spans="1:13" s="40" customFormat="1" x14ac:dyDescent="0.2">
      <c r="A170" s="41" t="s">
        <v>332</v>
      </c>
      <c r="B170" s="39"/>
      <c r="C170" s="76">
        <v>683</v>
      </c>
      <c r="D170" s="63"/>
      <c r="E170" s="112">
        <v>737</v>
      </c>
      <c r="F170" s="63"/>
      <c r="G170" s="76"/>
      <c r="I170" s="112">
        <v>750</v>
      </c>
      <c r="K170" s="76"/>
      <c r="M170" s="76"/>
    </row>
    <row r="171" spans="1:13" s="40" customFormat="1" x14ac:dyDescent="0.2">
      <c r="A171" s="41" t="s">
        <v>256</v>
      </c>
      <c r="B171" s="39"/>
      <c r="C171" s="100">
        <f>C170/C182</f>
        <v>7.7959137084807673E-2</v>
      </c>
      <c r="D171" s="100"/>
      <c r="E171" s="391">
        <f>E170/E182</f>
        <v>8.400775105437136E-2</v>
      </c>
      <c r="F171" s="63"/>
      <c r="G171" s="100"/>
      <c r="I171" s="391">
        <f>I170/I182</f>
        <v>8.4231805929919135E-2</v>
      </c>
      <c r="K171" s="100"/>
      <c r="M171" s="381"/>
    </row>
    <row r="172" spans="1:13" s="40" customFormat="1" x14ac:dyDescent="0.2">
      <c r="A172" s="41" t="s">
        <v>257</v>
      </c>
      <c r="B172" s="39"/>
      <c r="C172" s="76">
        <v>2919</v>
      </c>
      <c r="D172" s="63"/>
      <c r="E172" s="112">
        <v>2995</v>
      </c>
      <c r="F172" s="63"/>
      <c r="G172" s="76"/>
      <c r="I172" s="112">
        <v>3070</v>
      </c>
      <c r="K172" s="76"/>
      <c r="M172" s="76"/>
    </row>
    <row r="173" spans="1:13" s="40" customFormat="1" x14ac:dyDescent="0.2">
      <c r="A173" s="41" t="s">
        <v>258</v>
      </c>
      <c r="B173" s="39"/>
      <c r="C173" s="100">
        <f>C172/C182</f>
        <v>0.33318114370505653</v>
      </c>
      <c r="D173" s="63"/>
      <c r="E173" s="391">
        <f>E172/E182</f>
        <v>0.34138835062122419</v>
      </c>
      <c r="F173" s="63"/>
      <c r="G173" s="100"/>
      <c r="I173" s="391">
        <f>I172/I182</f>
        <v>0.34478885893980232</v>
      </c>
      <c r="K173" s="100"/>
      <c r="M173" s="381"/>
    </row>
    <row r="174" spans="1:13" s="40" customFormat="1" x14ac:dyDescent="0.2">
      <c r="A174" s="41" t="s">
        <v>259</v>
      </c>
      <c r="B174" s="39"/>
      <c r="C174" s="76">
        <v>3602</v>
      </c>
      <c r="D174" s="63"/>
      <c r="E174" s="112">
        <v>3732</v>
      </c>
      <c r="F174" s="63"/>
      <c r="G174" s="76"/>
      <c r="I174" s="112">
        <v>3820</v>
      </c>
      <c r="K174" s="76"/>
      <c r="M174" s="78"/>
    </row>
    <row r="175" spans="1:13" s="40" customFormat="1" x14ac:dyDescent="0.2">
      <c r="A175" s="41" t="s">
        <v>260</v>
      </c>
      <c r="B175" s="39"/>
      <c r="C175" s="100">
        <f>C174/C182</f>
        <v>0.41114028078986414</v>
      </c>
      <c r="D175" s="63"/>
      <c r="E175" s="391">
        <f>E174/E182</f>
        <v>0.42539610167559555</v>
      </c>
      <c r="F175" s="63"/>
      <c r="G175" s="100"/>
      <c r="I175" s="391">
        <f>I174/I182</f>
        <v>0.42902066486972146</v>
      </c>
      <c r="K175" s="100"/>
      <c r="M175" s="381"/>
    </row>
    <row r="176" spans="1:13" s="37" customFormat="1" x14ac:dyDescent="0.2">
      <c r="A176" s="35" t="s">
        <v>211</v>
      </c>
      <c r="B176" s="36"/>
      <c r="C176" s="87"/>
      <c r="D176" s="87"/>
      <c r="E176" s="87"/>
      <c r="F176" s="87"/>
      <c r="G176" s="87"/>
      <c r="I176" s="402"/>
      <c r="K176" s="87"/>
      <c r="M176" s="87"/>
    </row>
    <row r="177" spans="1:13" s="37" customFormat="1" x14ac:dyDescent="0.2">
      <c r="A177" s="35" t="s">
        <v>195</v>
      </c>
      <c r="B177" s="36"/>
      <c r="C177" s="87"/>
      <c r="D177" s="87"/>
      <c r="E177" s="87"/>
      <c r="F177" s="87"/>
      <c r="G177" s="87"/>
      <c r="I177" s="402"/>
      <c r="K177" s="87"/>
      <c r="M177" s="87"/>
    </row>
    <row r="178" spans="1:13" s="40" customFormat="1" x14ac:dyDescent="0.2">
      <c r="A178" s="38" t="s">
        <v>196</v>
      </c>
      <c r="B178" s="39"/>
      <c r="C178" s="63"/>
      <c r="D178" s="63"/>
      <c r="E178" s="63"/>
      <c r="F178" s="63"/>
      <c r="G178" s="63"/>
      <c r="I178" s="111"/>
      <c r="K178" s="63"/>
      <c r="M178" s="63"/>
    </row>
    <row r="179" spans="1:13" s="40" customFormat="1" x14ac:dyDescent="0.2">
      <c r="A179" s="1545" t="s">
        <v>197</v>
      </c>
      <c r="B179" s="1546"/>
      <c r="C179" s="901">
        <v>7337</v>
      </c>
      <c r="D179" s="63"/>
      <c r="E179" s="1440">
        <v>7244</v>
      </c>
      <c r="F179" s="63"/>
      <c r="G179" s="901"/>
      <c r="I179" s="1440">
        <v>7272</v>
      </c>
      <c r="K179" s="901"/>
      <c r="M179" s="901"/>
    </row>
    <row r="180" spans="1:13" s="40" customFormat="1" x14ac:dyDescent="0.2">
      <c r="A180" s="41" t="s">
        <v>261</v>
      </c>
      <c r="B180" s="39"/>
      <c r="C180" s="901">
        <v>1214</v>
      </c>
      <c r="D180" s="63"/>
      <c r="E180" s="1440">
        <v>1195</v>
      </c>
      <c r="F180" s="63"/>
      <c r="G180" s="901"/>
      <c r="I180" s="1440">
        <v>1187</v>
      </c>
      <c r="K180" s="901"/>
      <c r="M180" s="901"/>
    </row>
    <row r="181" spans="1:13" s="40" customFormat="1" x14ac:dyDescent="0.2">
      <c r="A181" s="41" t="s">
        <v>262</v>
      </c>
      <c r="B181" s="39"/>
      <c r="C181" s="901">
        <v>210</v>
      </c>
      <c r="D181" s="63"/>
      <c r="E181" s="1440">
        <v>334</v>
      </c>
      <c r="F181" s="63"/>
      <c r="G181" s="901"/>
      <c r="I181" s="1440">
        <v>445</v>
      </c>
      <c r="K181" s="901"/>
      <c r="M181" s="901"/>
    </row>
    <row r="182" spans="1:13" s="40" customFormat="1" x14ac:dyDescent="0.2">
      <c r="A182" s="41" t="s">
        <v>198</v>
      </c>
      <c r="B182" s="39"/>
      <c r="C182" s="901">
        <f>SUM(C179:C181)</f>
        <v>8761</v>
      </c>
      <c r="D182" s="63"/>
      <c r="E182" s="1440">
        <f>SUM(E179:E181)</f>
        <v>8773</v>
      </c>
      <c r="F182" s="63"/>
      <c r="G182" s="901"/>
      <c r="I182" s="1440">
        <f>SUM(I179:I181)</f>
        <v>8904</v>
      </c>
      <c r="K182" s="901"/>
      <c r="M182" s="901"/>
    </row>
    <row r="183" spans="1:13" s="40" customFormat="1" x14ac:dyDescent="0.2">
      <c r="A183" s="38" t="s">
        <v>199</v>
      </c>
      <c r="B183" s="39"/>
      <c r="C183" s="63"/>
      <c r="D183" s="63"/>
      <c r="E183" s="111"/>
      <c r="F183" s="63"/>
      <c r="G183" s="63"/>
      <c r="I183" s="111"/>
      <c r="K183" s="63"/>
      <c r="M183" s="63"/>
    </row>
    <row r="184" spans="1:13" s="40" customFormat="1" x14ac:dyDescent="0.2">
      <c r="A184" s="41" t="s">
        <v>2897</v>
      </c>
      <c r="B184" s="39"/>
      <c r="C184" s="901">
        <v>178</v>
      </c>
      <c r="D184" s="63"/>
      <c r="E184" s="1440">
        <v>184</v>
      </c>
      <c r="F184" s="63"/>
      <c r="G184" s="901"/>
      <c r="I184" s="1440">
        <v>184</v>
      </c>
      <c r="K184" s="901"/>
      <c r="M184" s="901"/>
    </row>
    <row r="185" spans="1:13" s="40" customFormat="1" x14ac:dyDescent="0.2">
      <c r="A185" s="41" t="s">
        <v>2904</v>
      </c>
      <c r="B185" s="39"/>
      <c r="C185" s="901">
        <v>239</v>
      </c>
      <c r="D185" s="63"/>
      <c r="E185" s="1440">
        <v>239</v>
      </c>
      <c r="F185" s="63"/>
      <c r="G185" s="901"/>
      <c r="I185" s="1440">
        <v>244</v>
      </c>
      <c r="K185" s="901"/>
      <c r="M185" s="901"/>
    </row>
    <row r="186" spans="1:13" s="40" customFormat="1" x14ac:dyDescent="0.2">
      <c r="A186" s="41" t="s">
        <v>2907</v>
      </c>
      <c r="B186" s="39"/>
      <c r="C186" s="901">
        <v>1514</v>
      </c>
      <c r="D186" s="63"/>
      <c r="E186" s="1440">
        <v>1483</v>
      </c>
      <c r="F186" s="63"/>
      <c r="G186" s="901"/>
      <c r="I186" s="1440">
        <v>1460</v>
      </c>
      <c r="K186" s="901"/>
      <c r="M186" s="901"/>
    </row>
    <row r="187" spans="1:13" s="40" customFormat="1" x14ac:dyDescent="0.2">
      <c r="A187" s="41" t="s">
        <v>2931</v>
      </c>
      <c r="B187" s="39"/>
      <c r="C187" s="901">
        <v>1476</v>
      </c>
      <c r="D187" s="63"/>
      <c r="E187" s="1440">
        <v>1593</v>
      </c>
      <c r="F187" s="63"/>
      <c r="G187" s="901"/>
      <c r="I187" s="1440">
        <v>1759</v>
      </c>
      <c r="K187" s="901"/>
      <c r="M187" s="901"/>
    </row>
    <row r="188" spans="1:13" s="40" customFormat="1" x14ac:dyDescent="0.2">
      <c r="A188" s="41" t="s">
        <v>2938</v>
      </c>
      <c r="B188" s="39"/>
      <c r="C188" s="901">
        <v>1652</v>
      </c>
      <c r="D188" s="63"/>
      <c r="E188" s="1440">
        <v>1599</v>
      </c>
      <c r="F188" s="63"/>
      <c r="G188" s="901"/>
      <c r="I188" s="1440">
        <v>1606</v>
      </c>
      <c r="K188" s="901"/>
      <c r="M188" s="901"/>
    </row>
    <row r="189" spans="1:13" s="40" customFormat="1" x14ac:dyDescent="0.2">
      <c r="A189" s="41" t="s">
        <v>2954</v>
      </c>
      <c r="B189" s="39"/>
      <c r="C189" s="901">
        <v>65</v>
      </c>
      <c r="D189" s="63"/>
      <c r="E189" s="1440">
        <v>68</v>
      </c>
      <c r="F189" s="63"/>
      <c r="G189" s="901"/>
      <c r="I189" s="1440">
        <v>72</v>
      </c>
      <c r="K189" s="901"/>
      <c r="M189" s="901"/>
    </row>
    <row r="190" spans="1:13" s="40" customFormat="1" x14ac:dyDescent="0.2">
      <c r="A190" s="41" t="s">
        <v>2963</v>
      </c>
      <c r="B190" s="39"/>
      <c r="C190" s="901">
        <v>2062</v>
      </c>
      <c r="D190" s="63"/>
      <c r="E190" s="1440">
        <v>2039</v>
      </c>
      <c r="F190" s="63"/>
      <c r="G190" s="901"/>
      <c r="I190" s="1440">
        <v>2034</v>
      </c>
      <c r="K190" s="901"/>
      <c r="M190" s="901"/>
    </row>
    <row r="191" spans="1:13" s="40" customFormat="1" x14ac:dyDescent="0.2">
      <c r="A191" s="41" t="s">
        <v>1799</v>
      </c>
      <c r="B191" s="39"/>
      <c r="C191" s="901">
        <v>39</v>
      </c>
      <c r="D191" s="63"/>
      <c r="E191" s="1440">
        <v>33</v>
      </c>
      <c r="F191" s="63"/>
      <c r="G191" s="901"/>
      <c r="I191" s="1440">
        <v>23</v>
      </c>
      <c r="K191" s="901"/>
      <c r="M191" s="901"/>
    </row>
    <row r="192" spans="1:13" s="40" customFormat="1" x14ac:dyDescent="0.2">
      <c r="A192" s="41" t="s">
        <v>2977</v>
      </c>
      <c r="B192" s="39"/>
      <c r="C192" s="901">
        <v>31</v>
      </c>
      <c r="D192" s="63"/>
      <c r="E192" s="1440">
        <v>30</v>
      </c>
      <c r="F192" s="63"/>
      <c r="G192" s="901"/>
      <c r="I192" s="1440">
        <v>30</v>
      </c>
      <c r="K192" s="901"/>
      <c r="M192" s="901"/>
    </row>
    <row r="193" spans="1:14" s="40" customFormat="1" x14ac:dyDescent="0.2">
      <c r="A193" s="41" t="s">
        <v>2978</v>
      </c>
      <c r="B193" s="39"/>
      <c r="C193" s="901">
        <v>198</v>
      </c>
      <c r="D193" s="63"/>
      <c r="E193" s="1440">
        <v>203</v>
      </c>
      <c r="F193" s="63"/>
      <c r="G193" s="901"/>
      <c r="I193" s="1440">
        <v>194</v>
      </c>
      <c r="K193" s="901"/>
      <c r="M193" s="901"/>
    </row>
    <row r="194" spans="1:14" s="40" customFormat="1" x14ac:dyDescent="0.2">
      <c r="A194" s="41" t="s">
        <v>2979</v>
      </c>
      <c r="B194" s="39"/>
      <c r="C194" s="901">
        <v>1117</v>
      </c>
      <c r="D194" s="63"/>
      <c r="E194" s="1440">
        <v>1116</v>
      </c>
      <c r="F194" s="63"/>
      <c r="G194" s="901"/>
      <c r="I194" s="1440">
        <v>1107</v>
      </c>
      <c r="K194" s="901"/>
      <c r="M194" s="901"/>
    </row>
    <row r="195" spans="1:14" s="40" customFormat="1" x14ac:dyDescent="0.2">
      <c r="A195" s="41" t="s">
        <v>1</v>
      </c>
      <c r="B195" s="39"/>
      <c r="C195" s="901">
        <v>190</v>
      </c>
      <c r="D195" s="63"/>
      <c r="E195" s="1440">
        <v>186</v>
      </c>
      <c r="F195" s="63"/>
      <c r="G195" s="901"/>
      <c r="I195" s="1440">
        <v>191</v>
      </c>
      <c r="K195" s="901"/>
      <c r="M195" s="901"/>
    </row>
    <row r="196" spans="1:14" s="40" customFormat="1" x14ac:dyDescent="0.2">
      <c r="A196" s="41" t="s">
        <v>198</v>
      </c>
      <c r="B196" s="39"/>
      <c r="C196" s="901">
        <f>SUM(C184:C195)</f>
        <v>8761</v>
      </c>
      <c r="D196" s="63"/>
      <c r="E196" s="1440">
        <f>SUM(E184:E195)</f>
        <v>8773</v>
      </c>
      <c r="F196" s="63"/>
      <c r="G196" s="901"/>
      <c r="I196" s="1440">
        <f>SUM(I184:I195)</f>
        <v>8904</v>
      </c>
      <c r="K196" s="892"/>
      <c r="M196" s="901"/>
    </row>
    <row r="197" spans="1:14" s="37" customFormat="1" x14ac:dyDescent="0.2">
      <c r="A197" s="35"/>
      <c r="B197" s="36"/>
      <c r="G197" s="87"/>
      <c r="I197" s="87"/>
    </row>
    <row r="198" spans="1:14" s="48" customFormat="1" x14ac:dyDescent="0.2">
      <c r="A198" s="46"/>
      <c r="B198" s="47"/>
      <c r="M198" s="280"/>
      <c r="N198" s="280"/>
    </row>
    <row r="199" spans="1:14" s="48" customFormat="1" x14ac:dyDescent="0.2">
      <c r="A199" s="49" t="s">
        <v>200</v>
      </c>
      <c r="B199" s="50"/>
      <c r="C199" s="65"/>
      <c r="D199" s="463"/>
      <c r="E199" s="417"/>
      <c r="F199" s="463"/>
      <c r="G199" s="417"/>
      <c r="H199" s="463"/>
      <c r="I199" s="417"/>
      <c r="J199" s="463"/>
      <c r="K199" s="417"/>
      <c r="L199" s="463"/>
      <c r="M199" s="65"/>
      <c r="N199" s="463"/>
    </row>
    <row r="200" spans="1:14" ht="29.25" customHeight="1" x14ac:dyDescent="0.2">
      <c r="A200" s="1738" t="s">
        <v>2980</v>
      </c>
      <c r="B200" s="1736"/>
      <c r="C200" s="1737"/>
      <c r="D200" s="1736"/>
      <c r="E200" s="1737"/>
      <c r="F200" s="1736"/>
      <c r="G200" s="1737"/>
      <c r="H200" s="1736"/>
      <c r="I200" s="1737"/>
      <c r="J200" s="1736"/>
      <c r="K200" s="1737"/>
      <c r="L200" s="1736"/>
      <c r="M200" s="1737"/>
      <c r="N200" s="1736"/>
    </row>
    <row r="201" spans="1:14" ht="15.75" customHeight="1" x14ac:dyDescent="0.2">
      <c r="A201" s="1738" t="s">
        <v>2981</v>
      </c>
      <c r="B201" s="1736"/>
      <c r="C201" s="1737"/>
      <c r="D201" s="1736"/>
      <c r="E201" s="1737"/>
      <c r="F201" s="1736"/>
      <c r="G201" s="1737"/>
      <c r="H201" s="1736"/>
      <c r="I201" s="1737"/>
      <c r="J201" s="1736"/>
      <c r="K201" s="1737"/>
      <c r="L201" s="1736"/>
      <c r="M201" s="1737"/>
      <c r="N201" s="1736"/>
    </row>
    <row r="202" spans="1:14" ht="15.75" customHeight="1" x14ac:dyDescent="0.2">
      <c r="A202" s="1547" t="s">
        <v>2982</v>
      </c>
      <c r="B202" s="137"/>
      <c r="C202" s="138"/>
      <c r="D202" s="137"/>
      <c r="E202" s="138"/>
      <c r="F202" s="137"/>
      <c r="G202" s="138"/>
      <c r="H202" s="137"/>
      <c r="I202" s="138"/>
      <c r="J202" s="137"/>
      <c r="K202" s="138"/>
      <c r="L202" s="137"/>
      <c r="M202" s="138"/>
      <c r="N202" s="137"/>
    </row>
    <row r="203" spans="1:14" ht="15" customHeight="1" x14ac:dyDescent="0.2">
      <c r="A203" s="1547" t="s">
        <v>2983</v>
      </c>
    </row>
    <row r="204" spans="1:14" ht="15" customHeight="1" x14ac:dyDescent="0.2">
      <c r="A204" s="1086" t="s">
        <v>2984</v>
      </c>
      <c r="B204" s="1021"/>
      <c r="C204" s="1021"/>
      <c r="D204" s="1021"/>
      <c r="E204" s="1021"/>
      <c r="F204" s="1021"/>
      <c r="G204" s="1021"/>
      <c r="H204" s="1021"/>
      <c r="I204" s="1021"/>
      <c r="J204" s="1021"/>
      <c r="K204" s="1021"/>
      <c r="L204" s="1021"/>
      <c r="M204" s="1021"/>
      <c r="N204" s="1021"/>
    </row>
    <row r="205" spans="1:14" ht="27.75" customHeight="1" x14ac:dyDescent="0.2">
      <c r="A205" s="1738" t="s">
        <v>352</v>
      </c>
      <c r="B205" s="1738"/>
      <c r="C205" s="1738"/>
      <c r="D205" s="1738"/>
      <c r="E205" s="1738"/>
      <c r="F205" s="1738"/>
      <c r="G205" s="1738"/>
      <c r="H205" s="1738"/>
      <c r="I205" s="1738"/>
      <c r="J205" s="1738"/>
      <c r="K205" s="1738"/>
      <c r="L205" s="1738"/>
      <c r="M205" s="1738"/>
      <c r="N205" s="1738"/>
    </row>
  </sheetData>
  <mergeCells count="4">
    <mergeCell ref="A200:N200"/>
    <mergeCell ref="A201:N201"/>
    <mergeCell ref="A205:N205"/>
    <mergeCell ref="K2:K3"/>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68" fitToHeight="99" pageOrder="overThenDown" orientation="portrait" blackAndWhite="1"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9">
    <pageSetUpPr fitToPage="1"/>
  </sheetPr>
  <dimension ref="A1:Q8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2985</v>
      </c>
      <c r="C2" s="7" t="s">
        <v>77</v>
      </c>
      <c r="D2" s="6"/>
      <c r="E2" s="8"/>
      <c r="F2" s="9"/>
      <c r="G2" s="8"/>
      <c r="H2" s="6"/>
      <c r="I2" s="8"/>
      <c r="J2" s="6"/>
      <c r="K2" s="1733" t="s">
        <v>171</v>
      </c>
      <c r="L2" s="6"/>
      <c r="M2" s="8"/>
      <c r="N2" s="6"/>
    </row>
    <row r="3" spans="1:16" s="4" customFormat="1" ht="15.75" x14ac:dyDescent="0.25">
      <c r="A3" s="1" t="s">
        <v>177</v>
      </c>
      <c r="B3" s="10" t="s">
        <v>514</v>
      </c>
      <c r="C3" s="10" t="s">
        <v>515</v>
      </c>
      <c r="D3" s="6"/>
      <c r="E3" s="11"/>
      <c r="F3" s="9"/>
      <c r="G3" s="11"/>
      <c r="H3" s="6"/>
      <c r="I3" s="11"/>
      <c r="J3" s="6"/>
      <c r="K3" s="1734"/>
      <c r="L3" s="6"/>
      <c r="M3" s="11"/>
      <c r="N3" s="6"/>
    </row>
    <row r="4" spans="1:16" s="4" customFormat="1" ht="15.75" x14ac:dyDescent="0.25">
      <c r="A4" s="1" t="s">
        <v>180</v>
      </c>
      <c r="B4" s="10" t="s">
        <v>339</v>
      </c>
      <c r="C4" s="10" t="s">
        <v>7</v>
      </c>
      <c r="D4" s="6"/>
      <c r="E4" s="11"/>
      <c r="F4" s="9"/>
      <c r="G4" s="11"/>
      <c r="H4" s="6"/>
      <c r="I4" s="11"/>
      <c r="J4" s="6"/>
      <c r="K4" s="11"/>
      <c r="L4" s="6"/>
      <c r="M4" s="11"/>
      <c r="N4" s="6"/>
    </row>
    <row r="5" spans="1:16" s="4" customFormat="1" ht="15.75" x14ac:dyDescent="0.2">
      <c r="A5" s="1" t="s">
        <v>183</v>
      </c>
      <c r="B5" s="12" t="s">
        <v>2986</v>
      </c>
      <c r="C5" s="12" t="s">
        <v>78</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c r="E10" s="87"/>
      <c r="F10" s="87"/>
    </row>
    <row r="11" spans="1:16" s="37" customFormat="1" x14ac:dyDescent="0.2">
      <c r="A11" s="35" t="s">
        <v>2987</v>
      </c>
      <c r="B11" s="36"/>
      <c r="C11" s="87"/>
      <c r="D11" s="87"/>
      <c r="E11" s="87"/>
      <c r="F11" s="87"/>
      <c r="M11" s="88"/>
    </row>
    <row r="12" spans="1:16" s="40" customFormat="1" x14ac:dyDescent="0.2">
      <c r="A12" s="41" t="s">
        <v>2988</v>
      </c>
      <c r="B12" s="39"/>
      <c r="C12" s="43">
        <v>850</v>
      </c>
      <c r="D12" s="63"/>
      <c r="E12" s="43">
        <v>850</v>
      </c>
      <c r="F12" s="63"/>
      <c r="G12" s="42">
        <v>850</v>
      </c>
      <c r="I12" s="42">
        <v>850</v>
      </c>
      <c r="K12" s="42">
        <v>850</v>
      </c>
      <c r="M12" s="62"/>
    </row>
    <row r="13" spans="1:16" s="40" customFormat="1" x14ac:dyDescent="0.2">
      <c r="A13" s="41" t="s">
        <v>2989</v>
      </c>
      <c r="B13" s="39"/>
      <c r="C13" s="43">
        <v>2400</v>
      </c>
      <c r="D13" s="63"/>
      <c r="E13" s="43">
        <v>2400</v>
      </c>
      <c r="F13" s="63"/>
      <c r="G13" s="42">
        <v>2400</v>
      </c>
      <c r="I13" s="42">
        <v>2400</v>
      </c>
      <c r="K13" s="42">
        <v>2400</v>
      </c>
      <c r="M13" s="62"/>
      <c r="O13" s="77"/>
    </row>
    <row r="14" spans="1:16" s="40" customFormat="1" x14ac:dyDescent="0.2">
      <c r="A14" s="41" t="s">
        <v>2990</v>
      </c>
      <c r="B14" s="39"/>
      <c r="C14" s="63"/>
      <c r="D14" s="63"/>
      <c r="E14" s="63"/>
      <c r="F14" s="63"/>
      <c r="M14" s="63"/>
    </row>
    <row r="15" spans="1:16" s="40" customFormat="1" x14ac:dyDescent="0.2">
      <c r="A15" s="90" t="s">
        <v>2991</v>
      </c>
      <c r="B15" s="39"/>
      <c r="C15" s="43">
        <v>34</v>
      </c>
      <c r="D15" s="63"/>
      <c r="E15" s="43">
        <v>34</v>
      </c>
      <c r="F15" s="63"/>
      <c r="G15" s="42">
        <v>33</v>
      </c>
      <c r="I15" s="42">
        <v>33</v>
      </c>
      <c r="K15" s="42">
        <v>33</v>
      </c>
      <c r="M15" s="62"/>
    </row>
    <row r="16" spans="1:16" s="40" customFormat="1" x14ac:dyDescent="0.2">
      <c r="A16" s="90" t="s">
        <v>2992</v>
      </c>
      <c r="B16" s="39"/>
      <c r="C16" s="43">
        <v>1985</v>
      </c>
      <c r="D16" s="63"/>
      <c r="E16" s="43">
        <v>2000</v>
      </c>
      <c r="F16" s="63"/>
      <c r="G16" s="42">
        <v>2000</v>
      </c>
      <c r="I16" s="42">
        <v>2000</v>
      </c>
      <c r="K16" s="42">
        <v>2000</v>
      </c>
      <c r="M16" s="62"/>
    </row>
    <row r="17" spans="1:17" s="40" customFormat="1" x14ac:dyDescent="0.2">
      <c r="A17" s="41" t="s">
        <v>2993</v>
      </c>
      <c r="B17" s="39"/>
      <c r="C17" s="917">
        <v>11760000</v>
      </c>
      <c r="D17" s="63"/>
      <c r="E17" s="917">
        <v>11620000</v>
      </c>
      <c r="F17" s="63"/>
      <c r="G17" s="582">
        <v>14250000</v>
      </c>
      <c r="I17" s="582">
        <v>14250000</v>
      </c>
      <c r="K17" s="582">
        <v>14250000</v>
      </c>
      <c r="M17" s="917"/>
    </row>
    <row r="18" spans="1:17" s="40" customFormat="1" x14ac:dyDescent="0.2">
      <c r="A18" s="41"/>
      <c r="B18" s="39"/>
      <c r="C18" s="63"/>
      <c r="D18" s="63"/>
      <c r="E18" s="63"/>
      <c r="F18" s="63"/>
      <c r="M18" s="63"/>
    </row>
    <row r="19" spans="1:17" s="37" customFormat="1" x14ac:dyDescent="0.2">
      <c r="A19" s="35" t="s">
        <v>194</v>
      </c>
      <c r="B19" s="36"/>
      <c r="C19" s="87"/>
      <c r="D19" s="87"/>
      <c r="E19" s="87"/>
      <c r="F19" s="87"/>
      <c r="M19" s="87"/>
    </row>
    <row r="20" spans="1:17" s="37" customFormat="1" x14ac:dyDescent="0.2">
      <c r="A20" s="35" t="s">
        <v>195</v>
      </c>
      <c r="B20" s="36"/>
      <c r="C20" s="87"/>
      <c r="D20" s="87"/>
      <c r="E20" s="87"/>
      <c r="F20" s="87"/>
      <c r="M20" s="87"/>
    </row>
    <row r="21" spans="1:17" s="40" customFormat="1" x14ac:dyDescent="0.2">
      <c r="A21" s="41" t="s">
        <v>262</v>
      </c>
      <c r="B21" s="39"/>
      <c r="C21" s="76">
        <v>103</v>
      </c>
      <c r="D21" s="63"/>
      <c r="E21" s="91">
        <v>92</v>
      </c>
      <c r="F21" s="63"/>
      <c r="G21" s="77">
        <v>89</v>
      </c>
      <c r="I21" s="76">
        <v>90</v>
      </c>
      <c r="K21" s="76">
        <v>95</v>
      </c>
      <c r="M21" s="76"/>
    </row>
    <row r="22" spans="1:17" s="37" customFormat="1" x14ac:dyDescent="0.2">
      <c r="A22" s="35"/>
      <c r="B22" s="36"/>
      <c r="E22" s="43"/>
      <c r="M22" s="87"/>
    </row>
    <row r="23" spans="1:17" s="48" customFormat="1" x14ac:dyDescent="0.2">
      <c r="A23" s="46"/>
      <c r="B23" s="47"/>
      <c r="M23" s="331"/>
    </row>
    <row r="24" spans="1:17" s="48" customFormat="1" x14ac:dyDescent="0.2">
      <c r="A24" s="49" t="s">
        <v>200</v>
      </c>
      <c r="B24" s="50"/>
      <c r="C24" s="51"/>
      <c r="D24" s="52"/>
      <c r="E24" s="53"/>
      <c r="F24" s="52"/>
      <c r="G24" s="53"/>
      <c r="H24" s="52"/>
      <c r="I24" s="53"/>
      <c r="J24" s="52"/>
      <c r="K24" s="53"/>
      <c r="L24" s="52"/>
      <c r="M24" s="51"/>
      <c r="N24" s="52"/>
    </row>
    <row r="25" spans="1:17" ht="27.75" customHeight="1" x14ac:dyDescent="0.2">
      <c r="A25" s="1842" t="s">
        <v>524</v>
      </c>
      <c r="B25" s="1736"/>
      <c r="C25" s="1737"/>
      <c r="D25" s="1736"/>
      <c r="E25" s="1737"/>
      <c r="F25" s="1736"/>
      <c r="G25" s="1737"/>
      <c r="H25" s="1736"/>
      <c r="I25" s="1737"/>
      <c r="J25" s="1736"/>
      <c r="K25" s="1737"/>
      <c r="L25" s="1736"/>
      <c r="M25" s="1737"/>
      <c r="N25" s="1736"/>
      <c r="O25" s="54"/>
      <c r="P25" s="54"/>
      <c r="Q25" s="951"/>
    </row>
    <row r="26" spans="1:17" ht="27.75" customHeight="1" x14ac:dyDescent="0.2">
      <c r="A26" s="1738"/>
      <c r="B26" s="1736"/>
      <c r="C26" s="1737"/>
      <c r="D26" s="1736"/>
      <c r="E26" s="1737"/>
      <c r="F26" s="1736"/>
      <c r="G26" s="1737"/>
      <c r="H26" s="1736"/>
      <c r="I26" s="1737"/>
      <c r="J26" s="1736"/>
      <c r="K26" s="1737"/>
      <c r="L26" s="1736"/>
      <c r="M26" s="1737"/>
      <c r="N26" s="1736"/>
      <c r="O26" s="54"/>
      <c r="P26" s="54"/>
    </row>
    <row r="27" spans="1:17" ht="27.75" customHeight="1" x14ac:dyDescent="0.2">
      <c r="A27" s="1735"/>
      <c r="B27" s="1736"/>
      <c r="C27" s="1737"/>
      <c r="D27" s="1736"/>
      <c r="E27" s="1737"/>
      <c r="F27" s="1736"/>
      <c r="G27" s="1737"/>
      <c r="H27" s="1736"/>
      <c r="I27" s="1737"/>
      <c r="J27" s="1736"/>
      <c r="K27" s="1737"/>
      <c r="L27" s="1736"/>
      <c r="M27" s="1737"/>
      <c r="N27" s="1736"/>
      <c r="O27" s="54"/>
      <c r="P27" s="54"/>
    </row>
    <row r="28" spans="1:17" ht="27.75" customHeight="1" x14ac:dyDescent="0.2">
      <c r="A28" s="1735"/>
      <c r="B28" s="1736"/>
      <c r="C28" s="1737"/>
      <c r="D28" s="1736"/>
      <c r="E28" s="1737"/>
      <c r="F28" s="1736"/>
      <c r="G28" s="1737"/>
      <c r="H28" s="1736"/>
      <c r="I28" s="1737"/>
      <c r="J28" s="1736"/>
      <c r="K28" s="1737"/>
      <c r="L28" s="1736"/>
      <c r="M28" s="1737"/>
      <c r="N28" s="1736"/>
      <c r="O28" s="54"/>
      <c r="P28" s="54"/>
    </row>
    <row r="29" spans="1:17" ht="27.75" customHeight="1" x14ac:dyDescent="0.2">
      <c r="A29" s="1735"/>
      <c r="B29" s="1736"/>
      <c r="C29" s="1737"/>
      <c r="D29" s="1736"/>
      <c r="E29" s="1737"/>
      <c r="F29" s="1736"/>
      <c r="G29" s="1737"/>
      <c r="H29" s="1736"/>
      <c r="I29" s="1737"/>
      <c r="J29" s="1736"/>
      <c r="K29" s="1737"/>
      <c r="L29" s="1736"/>
      <c r="M29" s="1737"/>
      <c r="N29" s="1736"/>
      <c r="O29" s="54"/>
      <c r="P29" s="54"/>
    </row>
    <row r="30" spans="1:17" ht="27.75" customHeight="1" x14ac:dyDescent="0.2">
      <c r="A30" s="1735"/>
      <c r="B30" s="1736"/>
      <c r="C30" s="1737"/>
      <c r="D30" s="1736"/>
      <c r="E30" s="1737"/>
      <c r="F30" s="1736"/>
      <c r="G30" s="1737"/>
      <c r="H30" s="1736"/>
      <c r="I30" s="1737"/>
      <c r="J30" s="1736"/>
      <c r="K30" s="1737"/>
      <c r="L30" s="1736"/>
      <c r="M30" s="1737"/>
      <c r="N30" s="1736"/>
      <c r="O30" s="54"/>
      <c r="P30" s="54"/>
    </row>
    <row r="31" spans="1:17" ht="27.75" customHeight="1" x14ac:dyDescent="0.2">
      <c r="A31" s="1735"/>
      <c r="B31" s="1736"/>
      <c r="C31" s="1737"/>
      <c r="D31" s="1736"/>
      <c r="E31" s="1737"/>
      <c r="F31" s="1736"/>
      <c r="G31" s="1737"/>
      <c r="H31" s="1736"/>
      <c r="I31" s="1737"/>
      <c r="J31" s="1736"/>
      <c r="K31" s="1737"/>
      <c r="L31" s="1736"/>
      <c r="M31" s="1737"/>
      <c r="N31" s="1736"/>
      <c r="O31" s="54"/>
      <c r="P31" s="54"/>
    </row>
    <row r="32" spans="1:17" ht="27.75" customHeight="1" x14ac:dyDescent="0.2">
      <c r="A32" s="1735"/>
      <c r="B32" s="1736"/>
      <c r="C32" s="1737"/>
      <c r="D32" s="1736"/>
      <c r="E32" s="1737"/>
      <c r="F32" s="1736"/>
      <c r="G32" s="1737"/>
      <c r="H32" s="1736"/>
      <c r="I32" s="1737"/>
      <c r="J32" s="1736"/>
      <c r="K32" s="1737"/>
      <c r="L32" s="1736"/>
      <c r="M32" s="1737"/>
      <c r="N32" s="1736"/>
      <c r="O32" s="54"/>
      <c r="P32" s="54"/>
    </row>
    <row r="33" spans="1:17" ht="27.75" customHeight="1" x14ac:dyDescent="0.2">
      <c r="A33" s="1735"/>
      <c r="B33" s="1736"/>
      <c r="C33" s="1737"/>
      <c r="D33" s="1736"/>
      <c r="E33" s="1737"/>
      <c r="F33" s="1736"/>
      <c r="G33" s="1737"/>
      <c r="H33" s="1736"/>
      <c r="I33" s="1737"/>
      <c r="J33" s="1736"/>
      <c r="K33" s="1737"/>
      <c r="L33" s="1736"/>
      <c r="M33" s="1737"/>
      <c r="N33" s="1736"/>
      <c r="O33" s="54"/>
      <c r="P33" s="54"/>
    </row>
    <row r="34" spans="1:17" x14ac:dyDescent="0.2">
      <c r="A34" s="55"/>
      <c r="B34" s="54"/>
      <c r="C34" s="56"/>
      <c r="D34" s="54"/>
      <c r="E34" s="56"/>
      <c r="F34" s="54"/>
      <c r="G34" s="56"/>
      <c r="H34" s="54"/>
      <c r="I34" s="56"/>
      <c r="J34" s="54"/>
      <c r="K34" s="56"/>
      <c r="L34" s="54"/>
      <c r="M34" s="56"/>
      <c r="N34" s="54"/>
      <c r="O34" s="54"/>
      <c r="P34" s="54"/>
    </row>
    <row r="35" spans="1:17" x14ac:dyDescent="0.2">
      <c r="A35" s="55"/>
      <c r="B35" s="54"/>
      <c r="C35" s="54"/>
      <c r="D35" s="54"/>
      <c r="E35" s="54"/>
      <c r="F35" s="54"/>
      <c r="G35" s="54"/>
      <c r="H35" s="54"/>
      <c r="I35" s="54"/>
      <c r="J35" s="54"/>
      <c r="K35" s="54"/>
      <c r="L35" s="54"/>
      <c r="M35" s="54"/>
      <c r="N35" s="54"/>
      <c r="O35" s="54"/>
      <c r="P35" s="54"/>
    </row>
    <row r="36" spans="1:17" x14ac:dyDescent="0.2">
      <c r="A36" s="55"/>
      <c r="B36" s="54"/>
      <c r="C36" s="56"/>
      <c r="D36" s="54"/>
      <c r="E36" s="56"/>
      <c r="F36" s="54"/>
      <c r="G36" s="56"/>
      <c r="H36" s="54"/>
      <c r="I36" s="56"/>
      <c r="J36" s="54"/>
      <c r="K36" s="56"/>
      <c r="L36" s="54"/>
      <c r="M36" s="56"/>
      <c r="N36" s="54"/>
      <c r="O36" s="54"/>
      <c r="P36" s="54"/>
    </row>
    <row r="37" spans="1:17" x14ac:dyDescent="0.2">
      <c r="A37" s="55"/>
      <c r="B37" s="54"/>
      <c r="C37" s="54"/>
      <c r="D37" s="54"/>
      <c r="E37" s="54"/>
      <c r="F37" s="54"/>
      <c r="G37" s="54"/>
      <c r="H37" s="54"/>
      <c r="I37" s="54"/>
      <c r="J37" s="54"/>
      <c r="K37" s="54"/>
      <c r="L37" s="54"/>
      <c r="M37" s="54"/>
      <c r="N37" s="54"/>
      <c r="O37" s="54"/>
      <c r="P37" s="54"/>
    </row>
    <row r="38" spans="1:17" x14ac:dyDescent="0.2">
      <c r="A38" s="55"/>
      <c r="B38" s="54"/>
      <c r="C38" s="56"/>
      <c r="D38" s="54"/>
      <c r="E38" s="56"/>
      <c r="F38" s="54"/>
      <c r="G38" s="56"/>
      <c r="H38" s="54"/>
      <c r="I38" s="56"/>
      <c r="J38" s="54"/>
      <c r="K38" s="56"/>
      <c r="L38" s="54"/>
      <c r="M38" s="56"/>
      <c r="N38" s="54"/>
      <c r="O38" s="54"/>
      <c r="P38" s="54"/>
    </row>
    <row r="39" spans="1:17" x14ac:dyDescent="0.2">
      <c r="A39" s="55"/>
      <c r="B39" s="54"/>
      <c r="C39" s="54"/>
      <c r="D39" s="54"/>
      <c r="E39" s="54"/>
      <c r="F39" s="54"/>
      <c r="G39" s="54"/>
      <c r="H39" s="54"/>
      <c r="I39" s="54"/>
      <c r="J39" s="54"/>
      <c r="K39" s="54"/>
      <c r="L39" s="54"/>
      <c r="M39" s="54"/>
      <c r="N39" s="54"/>
      <c r="O39" s="54"/>
      <c r="P39" s="54"/>
    </row>
    <row r="40" spans="1:17" x14ac:dyDescent="0.2">
      <c r="A40" s="55"/>
      <c r="B40" s="54"/>
      <c r="C40" s="54"/>
      <c r="D40" s="54"/>
      <c r="E40" s="54"/>
      <c r="F40" s="54"/>
      <c r="G40" s="54"/>
      <c r="H40" s="54"/>
      <c r="I40" s="54"/>
      <c r="J40" s="54"/>
      <c r="K40" s="54"/>
      <c r="L40" s="54"/>
      <c r="M40" s="54"/>
      <c r="N40" s="54"/>
      <c r="O40" s="54"/>
      <c r="P40" s="54"/>
    </row>
    <row r="41" spans="1:17" x14ac:dyDescent="0.2">
      <c r="A41" s="55"/>
      <c r="B41" s="54"/>
      <c r="C41" s="107"/>
      <c r="D41" s="54"/>
      <c r="E41" s="107"/>
      <c r="F41" s="54"/>
      <c r="G41" s="107"/>
      <c r="H41" s="54"/>
      <c r="I41" s="107"/>
      <c r="J41" s="54"/>
      <c r="K41" s="107"/>
      <c r="L41" s="54"/>
      <c r="M41" s="107"/>
      <c r="N41" s="54"/>
      <c r="O41" s="54"/>
      <c r="P41" s="54"/>
      <c r="Q41" s="57"/>
    </row>
    <row r="42" spans="1:17" x14ac:dyDescent="0.2">
      <c r="B42" s="25"/>
      <c r="C42" s="984"/>
      <c r="D42" s="25"/>
      <c r="E42" s="984"/>
      <c r="F42" s="58"/>
      <c r="G42" s="984"/>
      <c r="H42" s="58"/>
      <c r="I42" s="985"/>
      <c r="K42" s="985"/>
      <c r="M42" s="985"/>
    </row>
    <row r="43" spans="1:17" x14ac:dyDescent="0.2">
      <c r="B43" s="25"/>
      <c r="C43" s="25"/>
      <c r="D43" s="25"/>
      <c r="E43" s="58"/>
      <c r="F43" s="58"/>
      <c r="G43" s="58"/>
      <c r="H43" s="58"/>
    </row>
    <row r="44" spans="1:17" x14ac:dyDescent="0.2">
      <c r="B44" s="25"/>
      <c r="C44" s="25"/>
      <c r="D44" s="25"/>
      <c r="E44" s="58"/>
      <c r="F44" s="58"/>
      <c r="G44" s="58"/>
      <c r="H44" s="58"/>
    </row>
    <row r="45" spans="1:17" x14ac:dyDescent="0.2">
      <c r="B45" s="25"/>
      <c r="C45" s="25"/>
      <c r="D45" s="25"/>
      <c r="E45" s="58"/>
      <c r="F45" s="58"/>
      <c r="G45" s="58"/>
      <c r="H45" s="58"/>
    </row>
    <row r="46" spans="1:17" x14ac:dyDescent="0.2">
      <c r="B46" s="25"/>
      <c r="C46" s="25"/>
      <c r="D46" s="25"/>
      <c r="E46" s="58"/>
      <c r="F46" s="58"/>
      <c r="G46" s="58"/>
      <c r="H46" s="58"/>
    </row>
    <row r="47" spans="1:17" x14ac:dyDescent="0.2">
      <c r="B47" s="25"/>
      <c r="C47" s="25"/>
      <c r="D47" s="25"/>
      <c r="E47" s="58"/>
      <c r="F47" s="58"/>
      <c r="G47" s="58"/>
      <c r="H47" s="58"/>
    </row>
    <row r="48" spans="1:17" x14ac:dyDescent="0.2">
      <c r="B48" s="25"/>
      <c r="C48" s="25"/>
      <c r="D48" s="25"/>
      <c r="E48" s="58"/>
      <c r="F48" s="58"/>
      <c r="G48" s="58"/>
      <c r="H48" s="58"/>
    </row>
    <row r="49" spans="2:13" x14ac:dyDescent="0.2">
      <c r="B49" s="25"/>
      <c r="C49" s="25"/>
      <c r="D49" s="25"/>
      <c r="E49" s="58"/>
      <c r="F49" s="58"/>
      <c r="G49" s="58"/>
      <c r="H49" s="58"/>
    </row>
    <row r="50" spans="2:13" x14ac:dyDescent="0.2">
      <c r="B50" s="25"/>
      <c r="C50" s="25"/>
      <c r="D50" s="25"/>
      <c r="E50" s="58"/>
      <c r="F50" s="58"/>
      <c r="G50" s="58"/>
      <c r="H50" s="58"/>
    </row>
    <row r="51" spans="2:13" x14ac:dyDescent="0.2">
      <c r="B51" s="25"/>
      <c r="C51" s="25"/>
      <c r="D51" s="25"/>
      <c r="E51" s="58"/>
      <c r="F51" s="58"/>
      <c r="G51" s="58"/>
      <c r="H51" s="58"/>
    </row>
    <row r="52" spans="2:13" x14ac:dyDescent="0.2">
      <c r="B52" s="25"/>
      <c r="C52" s="25"/>
      <c r="D52" s="25"/>
      <c r="E52" s="58"/>
      <c r="F52" s="58"/>
      <c r="G52" s="58"/>
      <c r="H52" s="58"/>
    </row>
    <row r="53" spans="2:13" x14ac:dyDescent="0.2">
      <c r="B53" s="25"/>
      <c r="C53" s="25"/>
      <c r="D53" s="25"/>
      <c r="E53" s="58"/>
      <c r="F53" s="58"/>
      <c r="G53" s="58"/>
      <c r="H53" s="58"/>
    </row>
    <row r="54" spans="2:13" x14ac:dyDescent="0.2">
      <c r="B54" s="25"/>
      <c r="C54" s="25"/>
      <c r="D54" s="25"/>
      <c r="E54" s="58"/>
      <c r="F54" s="58"/>
      <c r="G54" s="58"/>
      <c r="H54" s="58"/>
    </row>
    <row r="55" spans="2:13" x14ac:dyDescent="0.2">
      <c r="B55" s="25"/>
      <c r="C55" s="25"/>
      <c r="D55" s="25"/>
      <c r="E55" s="58"/>
      <c r="F55" s="58"/>
      <c r="G55" s="58"/>
      <c r="H55" s="58"/>
    </row>
    <row r="56" spans="2:13" x14ac:dyDescent="0.2">
      <c r="B56" s="25"/>
      <c r="C56" s="25"/>
      <c r="D56" s="25"/>
      <c r="E56" s="58"/>
      <c r="F56" s="58"/>
      <c r="G56" s="58"/>
      <c r="H56" s="58"/>
    </row>
    <row r="57" spans="2:13" x14ac:dyDescent="0.2">
      <c r="B57" s="25"/>
      <c r="C57" s="25"/>
      <c r="D57" s="25"/>
      <c r="E57" s="58"/>
      <c r="F57" s="58"/>
      <c r="G57" s="58"/>
      <c r="H57" s="58"/>
    </row>
    <row r="58" spans="2:13" x14ac:dyDescent="0.2">
      <c r="B58" s="25"/>
      <c r="C58" s="25"/>
      <c r="D58" s="25"/>
      <c r="E58" s="58"/>
      <c r="F58" s="58"/>
      <c r="G58" s="58"/>
      <c r="H58" s="58"/>
    </row>
    <row r="59" spans="2:13" x14ac:dyDescent="0.2">
      <c r="B59" s="25"/>
      <c r="C59" s="25"/>
      <c r="D59" s="25"/>
      <c r="E59" s="58"/>
      <c r="F59" s="58"/>
      <c r="G59" s="58"/>
      <c r="H59" s="58"/>
    </row>
    <row r="60" spans="2:13" x14ac:dyDescent="0.2">
      <c r="B60" s="25"/>
      <c r="C60" s="25"/>
      <c r="D60" s="25"/>
      <c r="E60" s="58"/>
      <c r="F60" s="58"/>
      <c r="G60" s="58"/>
      <c r="H60" s="58"/>
    </row>
    <row r="61" spans="2:13" x14ac:dyDescent="0.2">
      <c r="B61" s="25"/>
      <c r="C61" s="25"/>
      <c r="D61" s="25"/>
      <c r="E61" s="58"/>
      <c r="F61" s="58"/>
      <c r="G61" s="58"/>
      <c r="H61" s="58"/>
    </row>
    <row r="62" spans="2:13" x14ac:dyDescent="0.2">
      <c r="B62" s="25"/>
      <c r="C62" s="25"/>
      <c r="D62" s="25"/>
      <c r="E62" s="58"/>
      <c r="F62" s="58"/>
      <c r="G62" s="58"/>
      <c r="H62" s="58"/>
    </row>
    <row r="63" spans="2:13" x14ac:dyDescent="0.2">
      <c r="B63" s="25"/>
      <c r="C63" s="25"/>
      <c r="D63" s="25"/>
      <c r="E63" s="58"/>
      <c r="F63" s="58"/>
      <c r="G63" s="58"/>
      <c r="H63" s="58"/>
    </row>
    <row r="64" spans="2:13" x14ac:dyDescent="0.2">
      <c r="B64" s="25"/>
      <c r="C64" s="984"/>
      <c r="D64" s="25"/>
      <c r="E64" s="984"/>
      <c r="F64" s="58"/>
      <c r="G64" s="984"/>
      <c r="H64" s="58"/>
      <c r="I64" s="985"/>
      <c r="K64" s="985"/>
      <c r="M64" s="985"/>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sheetData>
  <mergeCells count="10">
    <mergeCell ref="A31:N31"/>
    <mergeCell ref="A32:N32"/>
    <mergeCell ref="A33:N33"/>
    <mergeCell ref="K2:K3"/>
    <mergeCell ref="A25:N25"/>
    <mergeCell ref="A26:N26"/>
    <mergeCell ref="A27:N27"/>
    <mergeCell ref="A28:N28"/>
    <mergeCell ref="A29:N29"/>
    <mergeCell ref="A30:N30"/>
  </mergeCells>
  <dataValidations count="3">
    <dataValidation type="list" showInputMessage="1" showErrorMessage="1" sqref="B6">
      <formula1>"4, 5, 6"</formula1>
    </dataValidation>
    <dataValidation type="list" showInputMessage="1" showErrorMessage="1" sqref="J3 L3 N3">
      <formula1>"1,2"</formula1>
    </dataValidation>
    <dataValidation showInputMessage="1" showErrorMessage="1" sqref="I3 D6 K3 M3"/>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0">
    <pageSetUpPr fitToPage="1"/>
  </sheetPr>
  <dimension ref="A1:Q9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61" customWidth="1"/>
    <col min="4" max="4" width="3" style="61" customWidth="1"/>
    <col min="5" max="5" width="13.7109375" style="59" customWidth="1"/>
    <col min="6" max="6" width="2.85546875" style="60" customWidth="1"/>
    <col min="7" max="7" width="13.7109375" style="59" hidden="1" customWidth="1"/>
    <col min="8" max="8" width="3.140625" style="60" hidden="1" customWidth="1"/>
    <col min="9" max="9" width="13.7109375" style="59" customWidth="1"/>
    <col min="10" max="10" width="3.140625" style="60" bestFit="1" customWidth="1"/>
    <col min="11" max="11" width="13.7109375" style="59" customWidth="1"/>
    <col min="12" max="12" width="3.140625" style="60" bestFit="1" customWidth="1"/>
    <col min="13" max="13" width="13.7109375" style="59" hidden="1" customWidth="1"/>
    <col min="14" max="14" width="3.140625" style="60" hidden="1" customWidth="1"/>
    <col min="15" max="15" width="13.7109375" style="59" customWidth="1"/>
    <col min="16" max="16" width="2.85546875" style="60" customWidth="1"/>
    <col min="17" max="17" width="3.42578125" style="29" customWidth="1"/>
    <col min="18" max="16384" width="9.140625" style="29"/>
  </cols>
  <sheetData>
    <row r="1" spans="1:16" s="4" customFormat="1" ht="15.75" x14ac:dyDescent="0.2">
      <c r="A1" s="1" t="s">
        <v>174</v>
      </c>
      <c r="B1" s="2">
        <v>2019</v>
      </c>
      <c r="C1" s="3"/>
      <c r="E1" s="3"/>
      <c r="G1" s="5"/>
      <c r="I1" s="5"/>
      <c r="J1" s="6"/>
      <c r="K1" s="5"/>
      <c r="L1" s="6"/>
      <c r="M1" s="5"/>
      <c r="N1" s="6"/>
    </row>
    <row r="2" spans="1:16" s="4" customFormat="1" ht="15.75" x14ac:dyDescent="0.25">
      <c r="A2" s="1" t="s">
        <v>175</v>
      </c>
      <c r="B2" s="7" t="s">
        <v>2985</v>
      </c>
      <c r="C2" s="7" t="s">
        <v>77</v>
      </c>
      <c r="D2" s="6"/>
      <c r="E2" s="8"/>
      <c r="F2" s="9"/>
      <c r="G2" s="8"/>
      <c r="H2" s="6"/>
      <c r="I2" s="8"/>
      <c r="J2" s="6"/>
      <c r="K2" s="1733" t="s">
        <v>171</v>
      </c>
      <c r="L2" s="6"/>
      <c r="M2" s="8"/>
      <c r="N2" s="6"/>
    </row>
    <row r="3" spans="1:16" s="4" customFormat="1" ht="15.75" x14ac:dyDescent="0.25">
      <c r="A3" s="1" t="s">
        <v>177</v>
      </c>
      <c r="B3" s="10" t="s">
        <v>514</v>
      </c>
      <c r="C3" s="10" t="s">
        <v>515</v>
      </c>
      <c r="D3" s="6"/>
      <c r="E3" s="11"/>
      <c r="F3" s="9"/>
      <c r="G3" s="11"/>
      <c r="H3" s="6"/>
      <c r="I3" s="11"/>
      <c r="J3" s="6"/>
      <c r="K3" s="1734"/>
      <c r="L3" s="6"/>
      <c r="M3" s="11"/>
      <c r="N3" s="6"/>
    </row>
    <row r="4" spans="1:16" s="4" customFormat="1" ht="15.75" x14ac:dyDescent="0.25">
      <c r="A4" s="1" t="s">
        <v>180</v>
      </c>
      <c r="B4" s="10" t="s">
        <v>339</v>
      </c>
      <c r="C4" s="10" t="s">
        <v>7</v>
      </c>
      <c r="D4" s="6"/>
      <c r="E4" s="11"/>
      <c r="F4" s="9"/>
      <c r="G4" s="11"/>
      <c r="H4" s="6"/>
      <c r="I4" s="11"/>
      <c r="J4" s="6"/>
      <c r="K4" s="11"/>
      <c r="L4" s="6"/>
      <c r="M4" s="11"/>
      <c r="N4" s="6"/>
    </row>
    <row r="5" spans="1:16" s="4" customFormat="1" ht="15.75" x14ac:dyDescent="0.2">
      <c r="A5" s="1" t="s">
        <v>183</v>
      </c>
      <c r="B5" s="12" t="s">
        <v>2994</v>
      </c>
      <c r="C5" s="12" t="s">
        <v>79</v>
      </c>
      <c r="D5" s="13"/>
      <c r="E5" s="14"/>
      <c r="G5" s="14"/>
      <c r="I5" s="14"/>
      <c r="K5" s="14"/>
      <c r="M5" s="14"/>
    </row>
    <row r="6" spans="1:16" s="4" customFormat="1" ht="15.75" x14ac:dyDescent="0.25">
      <c r="A6" s="15" t="s">
        <v>186</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187</v>
      </c>
      <c r="L7" s="23"/>
      <c r="M7" s="22" t="s">
        <v>187</v>
      </c>
      <c r="N7" s="23"/>
    </row>
    <row r="8" spans="1:16" x14ac:dyDescent="0.2">
      <c r="C8" s="27" t="s">
        <v>188</v>
      </c>
      <c r="D8" s="28" t="s">
        <v>189</v>
      </c>
      <c r="E8" s="27" t="s">
        <v>188</v>
      </c>
      <c r="F8" s="28" t="s">
        <v>189</v>
      </c>
      <c r="G8" s="27" t="s">
        <v>190</v>
      </c>
      <c r="H8" s="28" t="s">
        <v>189</v>
      </c>
      <c r="I8" s="27" t="s">
        <v>191</v>
      </c>
      <c r="J8" s="28" t="s">
        <v>189</v>
      </c>
      <c r="K8" s="27" t="s">
        <v>192</v>
      </c>
      <c r="L8" s="28" t="s">
        <v>189</v>
      </c>
      <c r="M8" s="27" t="s">
        <v>192</v>
      </c>
      <c r="N8" s="28" t="s">
        <v>189</v>
      </c>
      <c r="O8" s="29"/>
      <c r="P8" s="29"/>
    </row>
    <row r="9" spans="1:16" s="24" customFormat="1" ht="14.25" x14ac:dyDescent="0.2">
      <c r="A9" s="30"/>
      <c r="B9" s="31"/>
      <c r="C9" s="32" t="str">
        <f>"FY " &amp; FiscalYear - 3</f>
        <v>FY 2016</v>
      </c>
      <c r="D9" s="33" t="s">
        <v>193</v>
      </c>
      <c r="E9" s="32" t="str">
        <f>"FY " &amp; FiscalYear - 2</f>
        <v>FY 2017</v>
      </c>
      <c r="F9" s="33" t="s">
        <v>193</v>
      </c>
      <c r="G9" s="32" t="str">
        <f>"FY " &amp; FiscalYear - 1</f>
        <v>FY 2018</v>
      </c>
      <c r="H9" s="33" t="s">
        <v>193</v>
      </c>
      <c r="I9" s="34" t="str">
        <f>"FY " &amp; FiscalYear - 1</f>
        <v>FY 2018</v>
      </c>
      <c r="J9" s="33" t="s">
        <v>193</v>
      </c>
      <c r="K9" s="34" t="str">
        <f>"FY " &amp; FiscalYear</f>
        <v>FY 2019</v>
      </c>
      <c r="L9" s="33" t="s">
        <v>193</v>
      </c>
      <c r="M9" s="34" t="str">
        <f>"FY " &amp; FiscalYear + 1</f>
        <v>FY 2020</v>
      </c>
      <c r="N9" s="33" t="s">
        <v>193</v>
      </c>
    </row>
    <row r="10" spans="1:16" s="37" customFormat="1" x14ac:dyDescent="0.2">
      <c r="A10" s="35" t="s">
        <v>222</v>
      </c>
      <c r="B10" s="36"/>
      <c r="C10" s="87"/>
      <c r="D10" s="87"/>
      <c r="E10" s="87"/>
    </row>
    <row r="11" spans="1:16" s="37" customFormat="1" x14ac:dyDescent="0.2">
      <c r="A11" s="35" t="s">
        <v>2995</v>
      </c>
      <c r="B11" s="36"/>
      <c r="C11" s="87"/>
      <c r="D11" s="87"/>
      <c r="E11" s="87"/>
    </row>
    <row r="12" spans="1:16" s="40" customFormat="1" x14ac:dyDescent="0.2">
      <c r="A12" s="41" t="s">
        <v>2996</v>
      </c>
      <c r="B12" s="39"/>
      <c r="C12" s="76">
        <v>465</v>
      </c>
      <c r="D12" s="76"/>
      <c r="E12" s="76">
        <v>465</v>
      </c>
      <c r="G12" s="76">
        <v>465</v>
      </c>
      <c r="I12" s="76">
        <v>465</v>
      </c>
      <c r="K12" s="76">
        <v>465</v>
      </c>
      <c r="M12" s="76"/>
      <c r="O12" s="363"/>
    </row>
    <row r="13" spans="1:16" s="40" customFormat="1" x14ac:dyDescent="0.2">
      <c r="A13" s="41" t="s">
        <v>2997</v>
      </c>
      <c r="B13" s="39"/>
      <c r="C13" s="1327">
        <v>11637000</v>
      </c>
      <c r="D13" s="1327"/>
      <c r="E13" s="1327">
        <v>12357000</v>
      </c>
      <c r="G13" s="917">
        <v>11600000</v>
      </c>
      <c r="I13" s="917">
        <v>12400000</v>
      </c>
      <c r="K13" s="917">
        <v>12400000</v>
      </c>
      <c r="M13" s="917"/>
    </row>
    <row r="14" spans="1:16" s="40" customFormat="1" x14ac:dyDescent="0.2">
      <c r="A14" s="41" t="s">
        <v>2998</v>
      </c>
      <c r="B14" s="39"/>
      <c r="C14" s="76">
        <v>757000</v>
      </c>
      <c r="D14" s="76"/>
      <c r="E14" s="76">
        <v>760000</v>
      </c>
      <c r="G14" s="76">
        <v>760000</v>
      </c>
      <c r="I14" s="76">
        <v>760000</v>
      </c>
      <c r="K14" s="76">
        <v>760000</v>
      </c>
      <c r="M14" s="76"/>
    </row>
    <row r="15" spans="1:16" s="40" customFormat="1" x14ac:dyDescent="0.2">
      <c r="A15" s="41" t="s">
        <v>2999</v>
      </c>
      <c r="B15" s="39"/>
      <c r="C15" s="76">
        <v>18155000</v>
      </c>
      <c r="D15" s="76"/>
      <c r="E15" s="76">
        <v>18158000</v>
      </c>
      <c r="G15" s="76">
        <v>18158000</v>
      </c>
      <c r="I15" s="76">
        <v>18158000</v>
      </c>
      <c r="K15" s="76">
        <v>18158000</v>
      </c>
      <c r="M15" s="76"/>
    </row>
    <row r="16" spans="1:16" s="40" customFormat="1" x14ac:dyDescent="0.2">
      <c r="A16" s="41" t="s">
        <v>3000</v>
      </c>
      <c r="B16" s="39"/>
      <c r="C16" s="76">
        <v>1149000</v>
      </c>
      <c r="D16" s="76"/>
      <c r="E16" s="76">
        <v>1150000</v>
      </c>
      <c r="G16" s="76">
        <v>1150000</v>
      </c>
      <c r="I16" s="76">
        <v>1150000</v>
      </c>
      <c r="K16" s="76">
        <v>1150000</v>
      </c>
      <c r="M16" s="76"/>
    </row>
    <row r="17" spans="1:17" s="40" customFormat="1" x14ac:dyDescent="0.2">
      <c r="A17" s="41" t="s">
        <v>3001</v>
      </c>
      <c r="B17" s="39"/>
      <c r="C17" s="76">
        <v>104000</v>
      </c>
      <c r="D17" s="76"/>
      <c r="E17" s="76">
        <v>105000</v>
      </c>
      <c r="G17" s="76">
        <v>105000</v>
      </c>
      <c r="I17" s="76">
        <v>105000</v>
      </c>
      <c r="K17" s="76">
        <v>105000</v>
      </c>
      <c r="M17" s="76"/>
    </row>
    <row r="18" spans="1:17" s="40" customFormat="1" x14ac:dyDescent="0.2">
      <c r="A18" s="41" t="s">
        <v>3002</v>
      </c>
      <c r="B18" s="39"/>
      <c r="C18" s="76">
        <v>650000</v>
      </c>
      <c r="D18" s="76"/>
      <c r="E18" s="76">
        <v>650000</v>
      </c>
      <c r="G18" s="76">
        <v>650000</v>
      </c>
      <c r="I18" s="76">
        <v>650000</v>
      </c>
      <c r="K18" s="76">
        <v>650000</v>
      </c>
      <c r="M18" s="76"/>
    </row>
    <row r="19" spans="1:17" s="40" customFormat="1" x14ac:dyDescent="0.2">
      <c r="A19" s="41" t="s">
        <v>3003</v>
      </c>
      <c r="B19" s="39"/>
      <c r="C19" s="76">
        <v>5180000</v>
      </c>
      <c r="D19" s="76"/>
      <c r="E19" s="76">
        <v>5200000</v>
      </c>
      <c r="G19" s="76">
        <v>5200000</v>
      </c>
      <c r="I19" s="76">
        <v>5200000</v>
      </c>
      <c r="K19" s="76">
        <v>5200000</v>
      </c>
      <c r="M19" s="76"/>
    </row>
    <row r="20" spans="1:17" s="40" customFormat="1" x14ac:dyDescent="0.2">
      <c r="A20" s="41" t="s">
        <v>3004</v>
      </c>
      <c r="B20" s="39"/>
      <c r="C20" s="76">
        <v>3500000</v>
      </c>
      <c r="D20" s="76"/>
      <c r="E20" s="76">
        <v>3500000</v>
      </c>
      <c r="G20" s="76">
        <v>3500000</v>
      </c>
      <c r="I20" s="76">
        <v>3500000</v>
      </c>
      <c r="K20" s="76">
        <v>3500000</v>
      </c>
      <c r="M20" s="76"/>
    </row>
    <row r="21" spans="1:17" s="40" customFormat="1" x14ac:dyDescent="0.2">
      <c r="A21" s="41" t="s">
        <v>3005</v>
      </c>
      <c r="B21" s="39"/>
      <c r="C21" s="76">
        <v>2200000</v>
      </c>
      <c r="D21" s="76"/>
      <c r="E21" s="76">
        <v>2200000</v>
      </c>
      <c r="G21" s="76">
        <v>2200000</v>
      </c>
      <c r="I21" s="76">
        <v>2200000</v>
      </c>
      <c r="K21" s="76">
        <v>2200000</v>
      </c>
      <c r="M21" s="76"/>
    </row>
    <row r="22" spans="1:17" s="40" customFormat="1" x14ac:dyDescent="0.2">
      <c r="A22" s="41" t="s">
        <v>3006</v>
      </c>
      <c r="B22" s="39"/>
      <c r="C22" s="76">
        <v>348000</v>
      </c>
      <c r="D22" s="76"/>
      <c r="E22" s="76">
        <v>350000</v>
      </c>
      <c r="G22" s="76">
        <v>350000</v>
      </c>
      <c r="I22" s="76">
        <v>350000</v>
      </c>
      <c r="K22" s="76">
        <v>350000</v>
      </c>
      <c r="M22" s="76"/>
    </row>
    <row r="23" spans="1:17" s="40" customFormat="1" x14ac:dyDescent="0.2">
      <c r="A23" s="41"/>
      <c r="B23" s="39"/>
    </row>
    <row r="24" spans="1:17" s="37" customFormat="1" x14ac:dyDescent="0.2">
      <c r="A24" s="35" t="s">
        <v>194</v>
      </c>
      <c r="B24" s="36"/>
    </row>
    <row r="25" spans="1:17" s="37" customFormat="1" x14ac:dyDescent="0.2">
      <c r="A25" s="35" t="s">
        <v>195</v>
      </c>
      <c r="B25" s="36"/>
      <c r="C25" s="88"/>
      <c r="D25" s="87"/>
      <c r="M25" s="89"/>
    </row>
    <row r="26" spans="1:17" s="40" customFormat="1" x14ac:dyDescent="0.2">
      <c r="A26" s="41" t="s">
        <v>262</v>
      </c>
      <c r="B26" s="39"/>
      <c r="C26" s="76">
        <v>33</v>
      </c>
      <c r="D26" s="76"/>
      <c r="E26" s="76">
        <v>35</v>
      </c>
      <c r="F26" s="76"/>
      <c r="G26" s="76">
        <v>35</v>
      </c>
      <c r="H26" s="76"/>
      <c r="I26" s="76">
        <v>34</v>
      </c>
      <c r="J26" s="76"/>
      <c r="K26" s="76">
        <v>34</v>
      </c>
      <c r="M26" s="76"/>
    </row>
    <row r="27" spans="1:17" s="37" customFormat="1" x14ac:dyDescent="0.2">
      <c r="A27" s="35" t="s">
        <v>352</v>
      </c>
      <c r="B27" s="36"/>
    </row>
    <row r="28" spans="1:17" s="48" customFormat="1" x14ac:dyDescent="0.2">
      <c r="A28" s="46"/>
      <c r="B28" s="47"/>
    </row>
    <row r="29" spans="1:17" s="48" customFormat="1" x14ac:dyDescent="0.2">
      <c r="A29" s="49" t="s">
        <v>200</v>
      </c>
      <c r="B29" s="50"/>
      <c r="C29" s="51"/>
      <c r="D29" s="52"/>
      <c r="E29" s="53"/>
      <c r="F29" s="52"/>
      <c r="G29" s="53"/>
      <c r="H29" s="52"/>
      <c r="I29" s="53"/>
      <c r="J29" s="52"/>
      <c r="K29" s="53"/>
      <c r="L29" s="52"/>
      <c r="M29" s="51"/>
      <c r="N29" s="52"/>
    </row>
    <row r="30" spans="1:17" ht="27.75" customHeight="1" x14ac:dyDescent="0.2">
      <c r="A30" s="1762" t="s">
        <v>524</v>
      </c>
      <c r="B30" s="1736"/>
      <c r="C30" s="1737"/>
      <c r="D30" s="1736"/>
      <c r="E30" s="1737"/>
      <c r="F30" s="1736"/>
      <c r="G30" s="1737"/>
      <c r="H30" s="1736"/>
      <c r="I30" s="1737"/>
      <c r="J30" s="1736"/>
      <c r="K30" s="1737"/>
      <c r="L30" s="1736"/>
      <c r="M30" s="1737"/>
      <c r="N30" s="1736"/>
      <c r="O30" s="54"/>
      <c r="P30" s="54"/>
      <c r="Q30" s="951"/>
    </row>
    <row r="31" spans="1:17" ht="27.75" customHeight="1" x14ac:dyDescent="0.2">
      <c r="A31" s="1738"/>
      <c r="B31" s="1736"/>
      <c r="C31" s="1737"/>
      <c r="D31" s="1736"/>
      <c r="E31" s="1737"/>
      <c r="F31" s="1736"/>
      <c r="G31" s="1737"/>
      <c r="H31" s="1736"/>
      <c r="I31" s="1737"/>
      <c r="J31" s="1736"/>
      <c r="K31" s="1737"/>
      <c r="L31" s="1736"/>
      <c r="M31" s="1737"/>
      <c r="N31" s="1736"/>
      <c r="O31" s="54"/>
      <c r="P31" s="54"/>
    </row>
    <row r="32" spans="1:17" x14ac:dyDescent="0.2">
      <c r="A32" s="1738"/>
      <c r="B32" s="1736"/>
      <c r="C32" s="1737"/>
      <c r="D32" s="1736"/>
      <c r="E32" s="1737"/>
      <c r="F32" s="1736"/>
      <c r="G32" s="1737"/>
      <c r="H32" s="1736"/>
      <c r="I32" s="1737"/>
      <c r="J32" s="1736"/>
      <c r="K32" s="1737"/>
      <c r="L32" s="1736"/>
      <c r="M32" s="1737"/>
      <c r="N32" s="1736"/>
      <c r="O32" s="54"/>
      <c r="P32" s="54"/>
    </row>
    <row r="33" spans="1:17" ht="27.75" customHeight="1" x14ac:dyDescent="0.2">
      <c r="A33" s="1738"/>
      <c r="B33" s="1736"/>
      <c r="C33" s="1737"/>
      <c r="D33" s="1736"/>
      <c r="E33" s="1737"/>
      <c r="F33" s="1736"/>
      <c r="G33" s="1737"/>
      <c r="H33" s="1736"/>
      <c r="I33" s="1737"/>
      <c r="J33" s="1736"/>
      <c r="K33" s="1737"/>
      <c r="L33" s="1736"/>
      <c r="M33" s="1737"/>
      <c r="N33" s="1736"/>
      <c r="O33" s="54"/>
      <c r="P33" s="54"/>
    </row>
    <row r="34" spans="1:17" ht="27.75" customHeight="1" x14ac:dyDescent="0.2">
      <c r="A34" s="1735"/>
      <c r="B34" s="1736"/>
      <c r="C34" s="1737"/>
      <c r="D34" s="1736"/>
      <c r="E34" s="1737"/>
      <c r="F34" s="1736"/>
      <c r="G34" s="1737"/>
      <c r="H34" s="1736"/>
      <c r="I34" s="1737"/>
      <c r="J34" s="1736"/>
      <c r="K34" s="1737"/>
      <c r="L34" s="1736"/>
      <c r="M34" s="1737"/>
      <c r="N34" s="1736"/>
      <c r="O34" s="54"/>
      <c r="P34" s="54"/>
    </row>
    <row r="35" spans="1:17" ht="27.75" customHeight="1" x14ac:dyDescent="0.2">
      <c r="A35" s="1735"/>
      <c r="B35" s="1736"/>
      <c r="C35" s="1737"/>
      <c r="D35" s="1736"/>
      <c r="E35" s="1737"/>
      <c r="F35" s="1736"/>
      <c r="G35" s="1737"/>
      <c r="H35" s="1736"/>
      <c r="I35" s="1737"/>
      <c r="J35" s="1736"/>
      <c r="K35" s="1737"/>
      <c r="L35" s="1736"/>
      <c r="M35" s="1737"/>
      <c r="N35" s="1736"/>
      <c r="O35" s="54"/>
      <c r="P35" s="54"/>
    </row>
    <row r="36" spans="1:17" ht="27.75" customHeight="1" x14ac:dyDescent="0.2">
      <c r="A36" s="1735"/>
      <c r="B36" s="1736"/>
      <c r="C36" s="1737"/>
      <c r="D36" s="1736"/>
      <c r="E36" s="1737"/>
      <c r="F36" s="1736"/>
      <c r="G36" s="1737"/>
      <c r="H36" s="1736"/>
      <c r="I36" s="1737"/>
      <c r="J36" s="1736"/>
      <c r="K36" s="1737"/>
      <c r="L36" s="1736"/>
      <c r="M36" s="1737"/>
      <c r="N36" s="1736"/>
      <c r="O36" s="54"/>
      <c r="P36" s="54"/>
    </row>
    <row r="37" spans="1:17" ht="27.75" customHeight="1" x14ac:dyDescent="0.2">
      <c r="A37" s="1735"/>
      <c r="B37" s="1736"/>
      <c r="C37" s="1737"/>
      <c r="D37" s="1736"/>
      <c r="E37" s="1737"/>
      <c r="F37" s="1736"/>
      <c r="G37" s="1737"/>
      <c r="H37" s="1736"/>
      <c r="I37" s="1737"/>
      <c r="J37" s="1736"/>
      <c r="K37" s="1737"/>
      <c r="L37" s="1736"/>
      <c r="M37" s="1737"/>
      <c r="N37" s="1736"/>
      <c r="O37" s="54"/>
      <c r="P37" s="54"/>
    </row>
    <row r="38" spans="1:17" ht="27.75" customHeight="1" x14ac:dyDescent="0.2">
      <c r="A38" s="1735"/>
      <c r="B38" s="1736"/>
      <c r="C38" s="1737"/>
      <c r="D38" s="1736"/>
      <c r="E38" s="1737"/>
      <c r="F38" s="1736"/>
      <c r="G38" s="1737"/>
      <c r="H38" s="1736"/>
      <c r="I38" s="1737"/>
      <c r="J38" s="1736"/>
      <c r="K38" s="1737"/>
      <c r="L38" s="1736"/>
      <c r="M38" s="1737"/>
      <c r="N38" s="1736"/>
      <c r="O38" s="54"/>
      <c r="P38" s="54"/>
    </row>
    <row r="39" spans="1:17" ht="27.75" customHeight="1" x14ac:dyDescent="0.2">
      <c r="A39" s="1735"/>
      <c r="B39" s="1736"/>
      <c r="C39" s="1737"/>
      <c r="D39" s="1736"/>
      <c r="E39" s="1737"/>
      <c r="F39" s="1736"/>
      <c r="G39" s="1737"/>
      <c r="H39" s="1736"/>
      <c r="I39" s="1737"/>
      <c r="J39" s="1736"/>
      <c r="K39" s="1737"/>
      <c r="L39" s="1736"/>
      <c r="M39" s="1737"/>
      <c r="N39" s="1736"/>
      <c r="O39" s="54"/>
      <c r="P39" s="54"/>
    </row>
    <row r="40" spans="1:17" x14ac:dyDescent="0.2">
      <c r="A40" s="55"/>
      <c r="B40" s="54"/>
      <c r="C40" s="56"/>
      <c r="D40" s="54"/>
      <c r="E40" s="56"/>
      <c r="F40" s="54"/>
      <c r="G40" s="56"/>
      <c r="H40" s="54"/>
      <c r="I40" s="56"/>
      <c r="J40" s="54"/>
      <c r="K40" s="56"/>
      <c r="L40" s="54"/>
      <c r="M40" s="56"/>
      <c r="N40" s="54"/>
      <c r="O40" s="54"/>
      <c r="P40" s="54"/>
    </row>
    <row r="41" spans="1:17" x14ac:dyDescent="0.2">
      <c r="A41" s="55"/>
      <c r="B41" s="54"/>
      <c r="C41" s="54"/>
      <c r="D41" s="54"/>
      <c r="E41" s="54"/>
      <c r="F41" s="54"/>
      <c r="G41" s="54"/>
      <c r="H41" s="54"/>
      <c r="I41" s="54"/>
      <c r="J41" s="54"/>
      <c r="K41" s="54"/>
      <c r="L41" s="54"/>
      <c r="M41" s="54"/>
      <c r="N41" s="54"/>
      <c r="O41" s="54"/>
      <c r="P41" s="54"/>
    </row>
    <row r="42" spans="1:17" x14ac:dyDescent="0.2">
      <c r="A42" s="55"/>
      <c r="B42" s="54"/>
      <c r="C42" s="56"/>
      <c r="D42" s="54"/>
      <c r="E42" s="56"/>
      <c r="F42" s="54"/>
      <c r="G42" s="56"/>
      <c r="H42" s="54"/>
      <c r="I42" s="56"/>
      <c r="J42" s="54"/>
      <c r="K42" s="56"/>
      <c r="L42" s="54"/>
      <c r="M42" s="56"/>
      <c r="N42" s="54"/>
      <c r="O42" s="54"/>
      <c r="P42" s="54"/>
    </row>
    <row r="43" spans="1:17" x14ac:dyDescent="0.2">
      <c r="A43" s="55"/>
      <c r="B43" s="54"/>
      <c r="C43" s="54"/>
      <c r="D43" s="54"/>
      <c r="E43" s="54"/>
      <c r="F43" s="54"/>
      <c r="G43" s="54"/>
      <c r="H43" s="54"/>
      <c r="I43" s="54"/>
      <c r="J43" s="54"/>
      <c r="K43" s="54"/>
      <c r="L43" s="54"/>
      <c r="M43" s="54"/>
      <c r="N43" s="54"/>
      <c r="O43" s="54"/>
      <c r="P43" s="54"/>
    </row>
    <row r="44" spans="1:17" x14ac:dyDescent="0.2">
      <c r="A44" s="55"/>
      <c r="B44" s="54"/>
      <c r="C44" s="56"/>
      <c r="D44" s="54"/>
      <c r="E44" s="56"/>
      <c r="F44" s="54"/>
      <c r="G44" s="56"/>
      <c r="H44" s="54"/>
      <c r="I44" s="56"/>
      <c r="J44" s="54"/>
      <c r="K44" s="56"/>
      <c r="L44" s="54"/>
      <c r="M44" s="56"/>
      <c r="N44" s="54"/>
      <c r="O44" s="54"/>
      <c r="P44" s="54"/>
    </row>
    <row r="45" spans="1:17" x14ac:dyDescent="0.2">
      <c r="A45" s="55"/>
      <c r="B45" s="54"/>
      <c r="C45" s="54"/>
      <c r="D45" s="54"/>
      <c r="E45" s="54"/>
      <c r="F45" s="54"/>
      <c r="G45" s="54"/>
      <c r="H45" s="54"/>
      <c r="I45" s="54"/>
      <c r="J45" s="54"/>
      <c r="K45" s="54"/>
      <c r="L45" s="54"/>
      <c r="M45" s="54"/>
      <c r="N45" s="54"/>
      <c r="O45" s="54"/>
      <c r="P45" s="54"/>
    </row>
    <row r="46" spans="1:17" x14ac:dyDescent="0.2">
      <c r="A46" s="55"/>
      <c r="B46" s="54"/>
      <c r="C46" s="54"/>
      <c r="D46" s="54"/>
      <c r="E46" s="54"/>
      <c r="F46" s="54"/>
      <c r="G46" s="54"/>
      <c r="H46" s="54"/>
      <c r="I46" s="54"/>
      <c r="J46" s="54"/>
      <c r="K46" s="54"/>
      <c r="L46" s="54"/>
      <c r="M46" s="54"/>
      <c r="N46" s="54"/>
      <c r="O46" s="54"/>
      <c r="P46" s="54"/>
    </row>
    <row r="47" spans="1:17" x14ac:dyDescent="0.2">
      <c r="A47" s="55"/>
      <c r="B47" s="54"/>
      <c r="C47" s="54"/>
      <c r="D47" s="54"/>
      <c r="E47" s="54"/>
      <c r="F47" s="54"/>
      <c r="G47" s="54"/>
      <c r="H47" s="54"/>
      <c r="I47" s="54"/>
      <c r="J47" s="54"/>
      <c r="K47" s="54"/>
      <c r="L47" s="54"/>
      <c r="M47" s="54"/>
      <c r="N47" s="54"/>
      <c r="O47" s="54"/>
      <c r="P47" s="54"/>
      <c r="Q47" s="57"/>
    </row>
    <row r="48" spans="1:17" x14ac:dyDescent="0.2">
      <c r="B48" s="25"/>
      <c r="C48" s="25"/>
      <c r="D48" s="25"/>
      <c r="E48" s="58"/>
      <c r="F48" s="58"/>
      <c r="G48" s="58"/>
      <c r="H48" s="58"/>
    </row>
    <row r="49" spans="2:8" x14ac:dyDescent="0.2">
      <c r="B49" s="25"/>
      <c r="C49" s="25"/>
      <c r="D49" s="25"/>
      <c r="E49" s="58"/>
      <c r="F49" s="58"/>
      <c r="G49" s="58"/>
      <c r="H49" s="58"/>
    </row>
    <row r="50" spans="2:8" x14ac:dyDescent="0.2">
      <c r="B50" s="25"/>
      <c r="C50" s="25"/>
      <c r="D50" s="25"/>
      <c r="E50" s="58"/>
      <c r="F50" s="58"/>
      <c r="G50" s="58"/>
      <c r="H50" s="58"/>
    </row>
    <row r="51" spans="2:8" x14ac:dyDescent="0.2">
      <c r="B51" s="25"/>
      <c r="C51" s="25"/>
      <c r="D51" s="25"/>
      <c r="E51" s="58"/>
      <c r="F51" s="58"/>
      <c r="G51" s="58"/>
      <c r="H51" s="58"/>
    </row>
    <row r="52" spans="2:8" x14ac:dyDescent="0.2">
      <c r="B52" s="25"/>
      <c r="C52" s="25"/>
      <c r="D52" s="25"/>
      <c r="E52" s="58"/>
      <c r="F52" s="58"/>
      <c r="G52" s="58"/>
      <c r="H52" s="58"/>
    </row>
    <row r="53" spans="2:8" x14ac:dyDescent="0.2">
      <c r="B53" s="25"/>
      <c r="C53" s="25"/>
      <c r="D53" s="25"/>
      <c r="E53" s="58"/>
      <c r="F53" s="58"/>
      <c r="G53" s="58"/>
      <c r="H53" s="58"/>
    </row>
    <row r="54" spans="2:8" x14ac:dyDescent="0.2">
      <c r="B54" s="25"/>
      <c r="C54" s="25"/>
      <c r="D54" s="25"/>
      <c r="E54" s="58"/>
      <c r="F54" s="58"/>
      <c r="G54" s="58"/>
      <c r="H54" s="58"/>
    </row>
    <row r="55" spans="2:8" x14ac:dyDescent="0.2">
      <c r="B55" s="25"/>
      <c r="C55" s="25"/>
      <c r="D55" s="25"/>
      <c r="E55" s="58"/>
      <c r="F55" s="58"/>
      <c r="G55" s="58"/>
      <c r="H55" s="58"/>
    </row>
    <row r="56" spans="2:8" x14ac:dyDescent="0.2">
      <c r="B56" s="25"/>
      <c r="C56" s="25"/>
      <c r="D56" s="25"/>
      <c r="E56" s="58"/>
      <c r="F56" s="58"/>
      <c r="G56" s="58"/>
      <c r="H56" s="58"/>
    </row>
    <row r="57" spans="2:8" x14ac:dyDescent="0.2">
      <c r="B57" s="25"/>
      <c r="C57" s="25"/>
      <c r="D57" s="25"/>
      <c r="E57" s="58"/>
      <c r="F57" s="58"/>
      <c r="G57" s="58"/>
      <c r="H57" s="58"/>
    </row>
    <row r="58" spans="2:8" x14ac:dyDescent="0.2">
      <c r="B58" s="25"/>
      <c r="C58" s="25"/>
      <c r="D58" s="25"/>
      <c r="E58" s="58"/>
      <c r="F58" s="58"/>
      <c r="G58" s="58"/>
      <c r="H58" s="58"/>
    </row>
    <row r="59" spans="2:8" x14ac:dyDescent="0.2">
      <c r="B59" s="25"/>
      <c r="C59" s="25"/>
      <c r="D59" s="25"/>
      <c r="E59" s="58"/>
      <c r="F59" s="58"/>
      <c r="G59" s="58"/>
      <c r="H59" s="58"/>
    </row>
    <row r="60" spans="2:8" x14ac:dyDescent="0.2">
      <c r="B60" s="25"/>
      <c r="C60" s="25"/>
      <c r="D60" s="25"/>
      <c r="E60" s="58"/>
      <c r="F60" s="58"/>
      <c r="G60" s="58"/>
      <c r="H60" s="58"/>
    </row>
    <row r="61" spans="2:8" x14ac:dyDescent="0.2">
      <c r="B61" s="25"/>
      <c r="C61" s="25"/>
      <c r="D61" s="25"/>
      <c r="E61" s="58"/>
      <c r="F61" s="58"/>
      <c r="G61" s="58"/>
      <c r="H61" s="58"/>
    </row>
    <row r="62" spans="2:8" x14ac:dyDescent="0.2">
      <c r="B62" s="25"/>
      <c r="C62" s="25"/>
      <c r="D62" s="25"/>
      <c r="E62" s="58"/>
      <c r="F62" s="58"/>
      <c r="G62" s="58"/>
      <c r="H62" s="58"/>
    </row>
    <row r="63" spans="2:8" x14ac:dyDescent="0.2">
      <c r="B63" s="25"/>
      <c r="C63" s="25"/>
      <c r="D63" s="25"/>
      <c r="E63" s="58"/>
      <c r="F63" s="58"/>
      <c r="G63" s="58"/>
      <c r="H63" s="58"/>
    </row>
    <row r="64" spans="2:8" x14ac:dyDescent="0.2">
      <c r="B64" s="25"/>
      <c r="C64" s="25"/>
      <c r="D64" s="25"/>
      <c r="E64" s="58"/>
      <c r="F64" s="58"/>
      <c r="G64" s="58"/>
      <c r="H64" s="58"/>
    </row>
    <row r="65" spans="2:8" x14ac:dyDescent="0.2">
      <c r="B65" s="25"/>
      <c r="C65" s="25"/>
      <c r="D65" s="25"/>
      <c r="E65" s="58"/>
      <c r="F65" s="58"/>
      <c r="G65" s="58"/>
      <c r="H65" s="58"/>
    </row>
    <row r="66" spans="2:8" x14ac:dyDescent="0.2">
      <c r="B66" s="25"/>
      <c r="C66" s="25"/>
      <c r="D66" s="25"/>
      <c r="E66" s="58"/>
      <c r="F66" s="58"/>
      <c r="G66" s="58"/>
      <c r="H66" s="58"/>
    </row>
    <row r="67" spans="2:8" x14ac:dyDescent="0.2">
      <c r="B67" s="25"/>
      <c r="C67" s="25"/>
      <c r="D67" s="25"/>
      <c r="E67" s="58"/>
      <c r="F67" s="58"/>
      <c r="G67" s="58"/>
      <c r="H67" s="58"/>
    </row>
    <row r="68" spans="2:8" x14ac:dyDescent="0.2">
      <c r="B68" s="25"/>
      <c r="C68" s="25"/>
      <c r="D68" s="25"/>
      <c r="E68" s="58"/>
      <c r="F68" s="58"/>
      <c r="G68" s="58"/>
      <c r="H68" s="58"/>
    </row>
    <row r="69" spans="2:8" x14ac:dyDescent="0.2">
      <c r="B69" s="25"/>
      <c r="C69" s="25"/>
      <c r="D69" s="25"/>
      <c r="E69" s="58"/>
      <c r="F69" s="58"/>
      <c r="G69" s="58"/>
      <c r="H69" s="58"/>
    </row>
    <row r="70" spans="2:8" x14ac:dyDescent="0.2">
      <c r="B70" s="25"/>
      <c r="C70" s="25"/>
      <c r="D70" s="25"/>
      <c r="E70" s="58"/>
      <c r="F70" s="58"/>
      <c r="G70" s="58"/>
      <c r="H70" s="58"/>
    </row>
    <row r="71" spans="2:8" x14ac:dyDescent="0.2">
      <c r="B71" s="25"/>
      <c r="C71" s="25"/>
      <c r="D71" s="25"/>
      <c r="E71" s="58"/>
      <c r="F71" s="58"/>
      <c r="G71" s="58"/>
      <c r="H71" s="58"/>
    </row>
    <row r="72" spans="2:8" x14ac:dyDescent="0.2">
      <c r="B72" s="25"/>
      <c r="C72" s="25"/>
      <c r="D72" s="25"/>
      <c r="E72" s="58"/>
      <c r="F72" s="58"/>
      <c r="G72" s="58"/>
      <c r="H72" s="58"/>
    </row>
    <row r="73" spans="2:8" x14ac:dyDescent="0.2">
      <c r="B73" s="25"/>
      <c r="C73" s="25"/>
      <c r="D73" s="25"/>
      <c r="E73" s="58"/>
      <c r="F73" s="58"/>
      <c r="G73" s="58"/>
      <c r="H73" s="58"/>
    </row>
    <row r="74" spans="2:8" x14ac:dyDescent="0.2">
      <c r="B74" s="25"/>
      <c r="C74" s="25"/>
      <c r="D74" s="25"/>
      <c r="E74" s="58"/>
      <c r="F74" s="58"/>
      <c r="G74" s="58"/>
      <c r="H74" s="58"/>
    </row>
    <row r="75" spans="2:8" x14ac:dyDescent="0.2">
      <c r="B75" s="25"/>
      <c r="C75" s="25"/>
      <c r="D75" s="25"/>
      <c r="E75" s="58"/>
      <c r="F75" s="58"/>
      <c r="G75" s="58"/>
      <c r="H75" s="58"/>
    </row>
    <row r="76" spans="2:8" x14ac:dyDescent="0.2">
      <c r="B76" s="25"/>
      <c r="C76" s="25"/>
      <c r="D76" s="25"/>
      <c r="E76" s="58"/>
      <c r="F76" s="58"/>
      <c r="G76" s="58"/>
      <c r="H76" s="58"/>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sheetData>
  <mergeCells count="11">
    <mergeCell ref="A36:N36"/>
    <mergeCell ref="A37:N37"/>
    <mergeCell ref="A38:N38"/>
    <mergeCell ref="A39:N39"/>
    <mergeCell ref="K2:K3"/>
    <mergeCell ref="A30:N30"/>
    <mergeCell ref="A31:N31"/>
    <mergeCell ref="A32:N32"/>
    <mergeCell ref="A33:N33"/>
    <mergeCell ref="A34:N34"/>
    <mergeCell ref="A35:N35"/>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2:K3" location="Index!A1" display="GoTo Index"/>
  </hyperlinks>
  <pageMargins left="0.25" right="0.25" top="1" bottom="1" header="0.5" footer="0.5"/>
  <pageSetup scale="86" fitToHeight="99" pageOrder="overThenDown"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105</vt:i4>
      </vt:variant>
      <vt:variant>
        <vt:lpstr>Named Ranges</vt:lpstr>
      </vt:variant>
      <vt:variant>
        <vt:i4>1189</vt:i4>
      </vt:variant>
    </vt:vector>
  </HeadingPairs>
  <TitlesOfParts>
    <vt:vector size="1294" baseType="lpstr">
      <vt:lpstr>Index</vt:lpstr>
      <vt:lpstr>01-71-0001</vt:lpstr>
      <vt:lpstr>01-71-0002</vt:lpstr>
      <vt:lpstr>01-71-0003</vt:lpstr>
      <vt:lpstr>01-77</vt:lpstr>
      <vt:lpstr>06-76</vt:lpstr>
      <vt:lpstr>10-49</vt:lpstr>
      <vt:lpstr>14-52</vt:lpstr>
      <vt:lpstr>16-55</vt:lpstr>
      <vt:lpstr>22-41</vt:lpstr>
      <vt:lpstr>22-55</vt:lpstr>
      <vt:lpstr>22-75</vt:lpstr>
      <vt:lpstr>22-76</vt:lpstr>
      <vt:lpstr>26-16-7025</vt:lpstr>
      <vt:lpstr>26-16</vt:lpstr>
      <vt:lpstr>26-17</vt:lpstr>
      <vt:lpstr>26-19</vt:lpstr>
      <vt:lpstr>34-31</vt:lpstr>
      <vt:lpstr>34-32</vt:lpstr>
      <vt:lpstr>34-33</vt:lpstr>
      <vt:lpstr>34-34</vt:lpstr>
      <vt:lpstr>34-35</vt:lpstr>
      <vt:lpstr>42-42</vt:lpstr>
      <vt:lpstr>42-43</vt:lpstr>
      <vt:lpstr>42-44</vt:lpstr>
      <vt:lpstr>42-45</vt:lpstr>
      <vt:lpstr>42-46</vt:lpstr>
      <vt:lpstr>42-47</vt:lpstr>
      <vt:lpstr>46-21</vt:lpstr>
      <vt:lpstr>46-22</vt:lpstr>
      <vt:lpstr>46-23-4290</vt:lpstr>
      <vt:lpstr>46-23</vt:lpstr>
      <vt:lpstr>46-25</vt:lpstr>
      <vt:lpstr>54-24-7540</vt:lpstr>
      <vt:lpstr>54-26</vt:lpstr>
      <vt:lpstr>54-27-7545</vt:lpstr>
      <vt:lpstr>54-32-7601</vt:lpstr>
      <vt:lpstr>54-32</vt:lpstr>
      <vt:lpstr>54-33-7560</vt:lpstr>
      <vt:lpstr>54-53-7550</vt:lpstr>
      <vt:lpstr>54-55-7580</vt:lpstr>
      <vt:lpstr>54-76-7500</vt:lpstr>
      <vt:lpstr>62-51</vt:lpstr>
      <vt:lpstr>62-53</vt:lpstr>
      <vt:lpstr>62-54</vt:lpstr>
      <vt:lpstr>62-74</vt:lpstr>
      <vt:lpstr>66-12</vt:lpstr>
      <vt:lpstr>66-13</vt:lpstr>
      <vt:lpstr>66-18</vt:lpstr>
      <vt:lpstr>66-19</vt:lpstr>
      <vt:lpstr>66-74</vt:lpstr>
      <vt:lpstr>66-82</vt:lpstr>
      <vt:lpstr>67-14</vt:lpstr>
      <vt:lpstr>67-83-3610</vt:lpstr>
      <vt:lpstr>67-83-3630</vt:lpstr>
      <vt:lpstr>67-83-3640</vt:lpstr>
      <vt:lpstr>67-83-3650</vt:lpstr>
      <vt:lpstr>74-36-2405</vt:lpstr>
      <vt:lpstr>74-36-2410</vt:lpstr>
      <vt:lpstr>74-36-2415</vt:lpstr>
      <vt:lpstr>74-36-2416</vt:lpstr>
      <vt:lpstr>74-36-2417</vt:lpstr>
      <vt:lpstr>74-36-2430</vt:lpstr>
      <vt:lpstr>74-36-2440</vt:lpstr>
      <vt:lpstr>74-36-2445</vt:lpstr>
      <vt:lpstr>74-36-2450</vt:lpstr>
      <vt:lpstr>74-36-2455</vt:lpstr>
      <vt:lpstr>74-36-2460</vt:lpstr>
      <vt:lpstr>74-36-2465</vt:lpstr>
      <vt:lpstr>74-36-2470</vt:lpstr>
      <vt:lpstr>74-36-2475</vt:lpstr>
      <vt:lpstr>74-36-2480</vt:lpstr>
      <vt:lpstr>74-36-2485</vt:lpstr>
      <vt:lpstr>74-36</vt:lpstr>
      <vt:lpstr>74-37-2541</vt:lpstr>
      <vt:lpstr>74-37</vt:lpstr>
      <vt:lpstr>74-74</vt:lpstr>
      <vt:lpstr>78-11</vt:lpstr>
      <vt:lpstr>78-61</vt:lpstr>
      <vt:lpstr>78-62</vt:lpstr>
      <vt:lpstr>78-64</vt:lpstr>
      <vt:lpstr>82-52</vt:lpstr>
      <vt:lpstr>82-72-2066</vt:lpstr>
      <vt:lpstr>82-72</vt:lpstr>
      <vt:lpstr>82-73</vt:lpstr>
      <vt:lpstr>82-74-2026</vt:lpstr>
      <vt:lpstr>82-74-2034</vt:lpstr>
      <vt:lpstr>82-74</vt:lpstr>
      <vt:lpstr>82-75</vt:lpstr>
      <vt:lpstr>82-76</vt:lpstr>
      <vt:lpstr>82-82-2096</vt:lpstr>
      <vt:lpstr>82-82-2097</vt:lpstr>
      <vt:lpstr>82-82-2098</vt:lpstr>
      <vt:lpstr>82-82</vt:lpstr>
      <vt:lpstr>90-72-9148</vt:lpstr>
      <vt:lpstr>94-74-9410</vt:lpstr>
      <vt:lpstr>98-15</vt:lpstr>
      <vt:lpstr>26-16-7020</vt:lpstr>
      <vt:lpstr>26-16-7030</vt:lpstr>
      <vt:lpstr>46-21-4280</vt:lpstr>
      <vt:lpstr>82-74-2020</vt:lpstr>
      <vt:lpstr>82-74-2052</vt:lpstr>
      <vt:lpstr>82-74-2056</vt:lpstr>
      <vt:lpstr>82-74-2057</vt:lpstr>
      <vt:lpstr>82-74-2065</vt:lpstr>
      <vt:lpstr>'01-71-0001'!BudgetedFy_1</vt:lpstr>
      <vt:lpstr>'01-71-0002'!BudgetedFy_1</vt:lpstr>
      <vt:lpstr>'01-71-0003'!BudgetedFy_1</vt:lpstr>
      <vt:lpstr>'01-77'!BudgetedFy_1</vt:lpstr>
      <vt:lpstr>'06-76'!BudgetedFy_1</vt:lpstr>
      <vt:lpstr>'10-49'!BudgetedFy_1</vt:lpstr>
      <vt:lpstr>'14-52'!BudgetedFy_1</vt:lpstr>
      <vt:lpstr>'16-55'!BudgetedFy_1</vt:lpstr>
      <vt:lpstr>'22-41'!BudgetedFy_1</vt:lpstr>
      <vt:lpstr>'22-55'!BudgetedFy_1</vt:lpstr>
      <vt:lpstr>'22-75'!BudgetedFy_1</vt:lpstr>
      <vt:lpstr>'22-76'!BudgetedFy_1</vt:lpstr>
      <vt:lpstr>'26-16'!BudgetedFy_1</vt:lpstr>
      <vt:lpstr>'26-16-7020'!BudgetedFy_1</vt:lpstr>
      <vt:lpstr>'26-16-7025'!BudgetedFy_1</vt:lpstr>
      <vt:lpstr>'26-16-7030'!BudgetedFy_1</vt:lpstr>
      <vt:lpstr>'26-17'!BudgetedFy_1</vt:lpstr>
      <vt:lpstr>'26-19'!BudgetedFy_1</vt:lpstr>
      <vt:lpstr>'34-31'!BudgetedFy_1</vt:lpstr>
      <vt:lpstr>'34-32'!BudgetedFy_1</vt:lpstr>
      <vt:lpstr>'34-33'!BudgetedFy_1</vt:lpstr>
      <vt:lpstr>'34-34'!BudgetedFy_1</vt:lpstr>
      <vt:lpstr>'34-35'!BudgetedFy_1</vt:lpstr>
      <vt:lpstr>'42-42'!BudgetedFy_1</vt:lpstr>
      <vt:lpstr>'42-43'!BudgetedFy_1</vt:lpstr>
      <vt:lpstr>'42-44'!BudgetedFy_1</vt:lpstr>
      <vt:lpstr>'42-45'!BudgetedFy_1</vt:lpstr>
      <vt:lpstr>'42-46'!BudgetedFy_1</vt:lpstr>
      <vt:lpstr>'42-47'!BudgetedFy_1</vt:lpstr>
      <vt:lpstr>'46-21'!BudgetedFy_1</vt:lpstr>
      <vt:lpstr>'46-21-4280'!BudgetedFy_1</vt:lpstr>
      <vt:lpstr>'46-22'!BudgetedFy_1</vt:lpstr>
      <vt:lpstr>'46-23'!BudgetedFy_1</vt:lpstr>
      <vt:lpstr>'46-23-4290'!BudgetedFy_1</vt:lpstr>
      <vt:lpstr>'46-25'!BudgetedFy_1</vt:lpstr>
      <vt:lpstr>'54-24-7540'!BudgetedFy_1</vt:lpstr>
      <vt:lpstr>'54-26'!BudgetedFy_1</vt:lpstr>
      <vt:lpstr>'54-27-7545'!BudgetedFy_1</vt:lpstr>
      <vt:lpstr>'54-32'!BudgetedFy_1</vt:lpstr>
      <vt:lpstr>'54-32-7601'!BudgetedFy_1</vt:lpstr>
      <vt:lpstr>'54-33-7560'!BudgetedFy_1</vt:lpstr>
      <vt:lpstr>'54-53-7550'!BudgetedFy_1</vt:lpstr>
      <vt:lpstr>'54-55-7580'!BudgetedFy_1</vt:lpstr>
      <vt:lpstr>'54-76-7500'!BudgetedFy_1</vt:lpstr>
      <vt:lpstr>'62-51'!BudgetedFy_1</vt:lpstr>
      <vt:lpstr>'62-53'!BudgetedFy_1</vt:lpstr>
      <vt:lpstr>'62-54'!BudgetedFy_1</vt:lpstr>
      <vt:lpstr>'62-74'!BudgetedFy_1</vt:lpstr>
      <vt:lpstr>'66-12'!BudgetedFy_1</vt:lpstr>
      <vt:lpstr>'66-13'!BudgetedFy_1</vt:lpstr>
      <vt:lpstr>'66-18'!BudgetedFy_1</vt:lpstr>
      <vt:lpstr>'66-19'!BudgetedFy_1</vt:lpstr>
      <vt:lpstr>'66-74'!BudgetedFy_1</vt:lpstr>
      <vt:lpstr>'66-82'!BudgetedFy_1</vt:lpstr>
      <vt:lpstr>'67-14'!BudgetedFy_1</vt:lpstr>
      <vt:lpstr>'67-83-3610'!BudgetedFy_1</vt:lpstr>
      <vt:lpstr>'67-83-3630'!BudgetedFy_1</vt:lpstr>
      <vt:lpstr>'67-83-3640'!BudgetedFy_1</vt:lpstr>
      <vt:lpstr>'67-83-3650'!BudgetedFy_1</vt:lpstr>
      <vt:lpstr>'74-36'!BudgetedFy_1</vt:lpstr>
      <vt:lpstr>'74-36-2405'!BudgetedFy_1</vt:lpstr>
      <vt:lpstr>'74-36-2410'!BudgetedFy_1</vt:lpstr>
      <vt:lpstr>'74-36-2415'!BudgetedFy_1</vt:lpstr>
      <vt:lpstr>'74-36-2416'!BudgetedFy_1</vt:lpstr>
      <vt:lpstr>'74-36-2417'!BudgetedFy_1</vt:lpstr>
      <vt:lpstr>'74-36-2430'!BudgetedFy_1</vt:lpstr>
      <vt:lpstr>'74-36-2440'!BudgetedFy_1</vt:lpstr>
      <vt:lpstr>'74-36-2445'!BudgetedFy_1</vt:lpstr>
      <vt:lpstr>'74-36-2450'!BudgetedFy_1</vt:lpstr>
      <vt:lpstr>'74-36-2455'!BudgetedFy_1</vt:lpstr>
      <vt:lpstr>'74-36-2460'!BudgetedFy_1</vt:lpstr>
      <vt:lpstr>'74-36-2465'!BudgetedFy_1</vt:lpstr>
      <vt:lpstr>'74-36-2470'!BudgetedFy_1</vt:lpstr>
      <vt:lpstr>'74-36-2475'!BudgetedFy_1</vt:lpstr>
      <vt:lpstr>'74-36-2480'!BudgetedFy_1</vt:lpstr>
      <vt:lpstr>'74-36-2485'!BudgetedFy_1</vt:lpstr>
      <vt:lpstr>'74-37'!BudgetedFy_1</vt:lpstr>
      <vt:lpstr>'74-37-2541'!BudgetedFy_1</vt:lpstr>
      <vt:lpstr>'74-74'!BudgetedFy_1</vt:lpstr>
      <vt:lpstr>'78-11'!BudgetedFy_1</vt:lpstr>
      <vt:lpstr>'78-61'!BudgetedFy_1</vt:lpstr>
      <vt:lpstr>'78-62'!BudgetedFy_1</vt:lpstr>
      <vt:lpstr>'78-64'!BudgetedFy_1</vt:lpstr>
      <vt:lpstr>'82-52'!BudgetedFy_1</vt:lpstr>
      <vt:lpstr>'82-72'!BudgetedFy_1</vt:lpstr>
      <vt:lpstr>'82-72-2066'!BudgetedFy_1</vt:lpstr>
      <vt:lpstr>'82-73'!BudgetedFy_1</vt:lpstr>
      <vt:lpstr>'82-74'!BudgetedFy_1</vt:lpstr>
      <vt:lpstr>'82-74-2020'!BudgetedFy_1</vt:lpstr>
      <vt:lpstr>'82-74-2026'!BudgetedFy_1</vt:lpstr>
      <vt:lpstr>'82-74-2034'!BudgetedFy_1</vt:lpstr>
      <vt:lpstr>'82-74-2052'!BudgetedFy_1</vt:lpstr>
      <vt:lpstr>'82-74-2056'!BudgetedFy_1</vt:lpstr>
      <vt:lpstr>'82-74-2057'!BudgetedFy_1</vt:lpstr>
      <vt:lpstr>'82-74-2065'!BudgetedFy_1</vt:lpstr>
      <vt:lpstr>'82-75'!BudgetedFy_1</vt:lpstr>
      <vt:lpstr>'82-76'!BudgetedFy_1</vt:lpstr>
      <vt:lpstr>'82-82'!BudgetedFy_1</vt:lpstr>
      <vt:lpstr>'82-82-2096'!BudgetedFy_1</vt:lpstr>
      <vt:lpstr>'82-82-2097'!BudgetedFy_1</vt:lpstr>
      <vt:lpstr>'82-82-2098'!BudgetedFy_1</vt:lpstr>
      <vt:lpstr>'90-72-9148'!BudgetedFy_1</vt:lpstr>
      <vt:lpstr>'94-74-9410'!BudgetedFy_1</vt:lpstr>
      <vt:lpstr>'98-15'!BudgetedFy_1</vt:lpstr>
      <vt:lpstr>'01-71-0001'!BudgetEstimate</vt:lpstr>
      <vt:lpstr>'01-71-0002'!BudgetEstimate</vt:lpstr>
      <vt:lpstr>'01-71-0003'!BudgetEstimate</vt:lpstr>
      <vt:lpstr>'01-77'!BudgetEstimate</vt:lpstr>
      <vt:lpstr>'06-76'!BudgetEstimate</vt:lpstr>
      <vt:lpstr>'10-49'!BudgetEstimate</vt:lpstr>
      <vt:lpstr>'14-52'!BudgetEstimate</vt:lpstr>
      <vt:lpstr>'16-55'!BudgetEstimate</vt:lpstr>
      <vt:lpstr>'22-41'!BudgetEstimate</vt:lpstr>
      <vt:lpstr>'22-55'!BudgetEstimate</vt:lpstr>
      <vt:lpstr>'22-75'!BudgetEstimate</vt:lpstr>
      <vt:lpstr>'22-76'!BudgetEstimate</vt:lpstr>
      <vt:lpstr>'26-16'!BudgetEstimate</vt:lpstr>
      <vt:lpstr>'26-16-7020'!BudgetEstimate</vt:lpstr>
      <vt:lpstr>'26-16-7025'!BudgetEstimate</vt:lpstr>
      <vt:lpstr>'26-16-7030'!BudgetEstimate</vt:lpstr>
      <vt:lpstr>'26-17'!BudgetEstimate</vt:lpstr>
      <vt:lpstr>'26-19'!BudgetEstimate</vt:lpstr>
      <vt:lpstr>'34-31'!BudgetEstimate</vt:lpstr>
      <vt:lpstr>'34-32'!BudgetEstimate</vt:lpstr>
      <vt:lpstr>'34-33'!BudgetEstimate</vt:lpstr>
      <vt:lpstr>'34-34'!BudgetEstimate</vt:lpstr>
      <vt:lpstr>'34-35'!BudgetEstimate</vt:lpstr>
      <vt:lpstr>'42-42'!BudgetEstimate</vt:lpstr>
      <vt:lpstr>'42-43'!BudgetEstimate</vt:lpstr>
      <vt:lpstr>'42-44'!BudgetEstimate</vt:lpstr>
      <vt:lpstr>'42-45'!BudgetEstimate</vt:lpstr>
      <vt:lpstr>'42-46'!BudgetEstimate</vt:lpstr>
      <vt:lpstr>'42-47'!BudgetEstimate</vt:lpstr>
      <vt:lpstr>'46-21'!BudgetEstimate</vt:lpstr>
      <vt:lpstr>'46-21-4280'!BudgetEstimate</vt:lpstr>
      <vt:lpstr>'46-22'!BudgetEstimate</vt:lpstr>
      <vt:lpstr>'46-23'!BudgetEstimate</vt:lpstr>
      <vt:lpstr>'46-23-4290'!BudgetEstimate</vt:lpstr>
      <vt:lpstr>'46-25'!BudgetEstimate</vt:lpstr>
      <vt:lpstr>'54-24-7540'!BudgetEstimate</vt:lpstr>
      <vt:lpstr>'54-26'!BudgetEstimate</vt:lpstr>
      <vt:lpstr>'54-27-7545'!BudgetEstimate</vt:lpstr>
      <vt:lpstr>'54-32'!BudgetEstimate</vt:lpstr>
      <vt:lpstr>'54-32-7601'!BudgetEstimate</vt:lpstr>
      <vt:lpstr>'54-33-7560'!BudgetEstimate</vt:lpstr>
      <vt:lpstr>'54-53-7550'!BudgetEstimate</vt:lpstr>
      <vt:lpstr>'54-55-7580'!BudgetEstimate</vt:lpstr>
      <vt:lpstr>'54-76-7500'!BudgetEstimate</vt:lpstr>
      <vt:lpstr>'62-51'!BudgetEstimate</vt:lpstr>
      <vt:lpstr>'62-53'!BudgetEstimate</vt:lpstr>
      <vt:lpstr>'62-54'!BudgetEstimate</vt:lpstr>
      <vt:lpstr>'62-74'!BudgetEstimate</vt:lpstr>
      <vt:lpstr>'66-12'!BudgetEstimate</vt:lpstr>
      <vt:lpstr>'66-13'!BudgetEstimate</vt:lpstr>
      <vt:lpstr>'66-18'!BudgetEstimate</vt:lpstr>
      <vt:lpstr>'66-19'!BudgetEstimate</vt:lpstr>
      <vt:lpstr>'66-74'!BudgetEstimate</vt:lpstr>
      <vt:lpstr>'66-82'!BudgetEstimate</vt:lpstr>
      <vt:lpstr>'67-14'!BudgetEstimate</vt:lpstr>
      <vt:lpstr>'67-83-3610'!BudgetEstimate</vt:lpstr>
      <vt:lpstr>'67-83-3630'!BudgetEstimate</vt:lpstr>
      <vt:lpstr>'67-83-3640'!BudgetEstimate</vt:lpstr>
      <vt:lpstr>'67-83-3650'!BudgetEstimate</vt:lpstr>
      <vt:lpstr>'74-36'!BudgetEstimate</vt:lpstr>
      <vt:lpstr>'74-36-2405'!BudgetEstimate</vt:lpstr>
      <vt:lpstr>'74-36-2410'!BudgetEstimate</vt:lpstr>
      <vt:lpstr>'74-36-2415'!BudgetEstimate</vt:lpstr>
      <vt:lpstr>'74-36-2416'!BudgetEstimate</vt:lpstr>
      <vt:lpstr>'74-36-2417'!BudgetEstimate</vt:lpstr>
      <vt:lpstr>'74-36-2430'!BudgetEstimate</vt:lpstr>
      <vt:lpstr>'74-36-2440'!BudgetEstimate</vt:lpstr>
      <vt:lpstr>'74-36-2445'!BudgetEstimate</vt:lpstr>
      <vt:lpstr>'74-36-2450'!BudgetEstimate</vt:lpstr>
      <vt:lpstr>'74-36-2455'!BudgetEstimate</vt:lpstr>
      <vt:lpstr>'74-36-2460'!BudgetEstimate</vt:lpstr>
      <vt:lpstr>'74-36-2465'!BudgetEstimate</vt:lpstr>
      <vt:lpstr>'74-36-2470'!BudgetEstimate</vt:lpstr>
      <vt:lpstr>'74-36-2475'!BudgetEstimate</vt:lpstr>
      <vt:lpstr>'74-36-2480'!BudgetEstimate</vt:lpstr>
      <vt:lpstr>'74-36-2485'!BudgetEstimate</vt:lpstr>
      <vt:lpstr>'74-37'!BudgetEstimate</vt:lpstr>
      <vt:lpstr>'74-37-2541'!BudgetEstimate</vt:lpstr>
      <vt:lpstr>'74-74'!BudgetEstimate</vt:lpstr>
      <vt:lpstr>'78-11'!BudgetEstimate</vt:lpstr>
      <vt:lpstr>'78-61'!BudgetEstimate</vt:lpstr>
      <vt:lpstr>'78-62'!BudgetEstimate</vt:lpstr>
      <vt:lpstr>'78-64'!BudgetEstimate</vt:lpstr>
      <vt:lpstr>'82-52'!BudgetEstimate</vt:lpstr>
      <vt:lpstr>'82-72'!BudgetEstimate</vt:lpstr>
      <vt:lpstr>'82-72-2066'!BudgetEstimate</vt:lpstr>
      <vt:lpstr>'82-73'!BudgetEstimate</vt:lpstr>
      <vt:lpstr>'82-74'!BudgetEstimate</vt:lpstr>
      <vt:lpstr>'82-74-2020'!BudgetEstimate</vt:lpstr>
      <vt:lpstr>'82-74-2026'!BudgetEstimate</vt:lpstr>
      <vt:lpstr>'82-74-2034'!BudgetEstimate</vt:lpstr>
      <vt:lpstr>'82-74-2052'!BudgetEstimate</vt:lpstr>
      <vt:lpstr>'82-74-2056'!BudgetEstimate</vt:lpstr>
      <vt:lpstr>'82-74-2057'!BudgetEstimate</vt:lpstr>
      <vt:lpstr>'82-74-2065'!BudgetEstimate</vt:lpstr>
      <vt:lpstr>'82-75'!BudgetEstimate</vt:lpstr>
      <vt:lpstr>'82-76'!BudgetEstimate</vt:lpstr>
      <vt:lpstr>'82-82'!BudgetEstimate</vt:lpstr>
      <vt:lpstr>'82-82-2096'!BudgetEstimate</vt:lpstr>
      <vt:lpstr>'82-82-2097'!BudgetEstimate</vt:lpstr>
      <vt:lpstr>'82-82-2098'!BudgetEstimate</vt:lpstr>
      <vt:lpstr>'90-72-9148'!BudgetEstimate</vt:lpstr>
      <vt:lpstr>'94-74-9410'!BudgetEstimate</vt:lpstr>
      <vt:lpstr>'98-15'!BudgetEstimate</vt:lpstr>
      <vt:lpstr>'01-71-0001'!Description</vt:lpstr>
      <vt:lpstr>'01-71-0002'!Description</vt:lpstr>
      <vt:lpstr>'01-71-0003'!Description</vt:lpstr>
      <vt:lpstr>'01-77'!Description</vt:lpstr>
      <vt:lpstr>'06-76'!Description</vt:lpstr>
      <vt:lpstr>'10-49'!Description</vt:lpstr>
      <vt:lpstr>'14-52'!Description</vt:lpstr>
      <vt:lpstr>'16-55'!Description</vt:lpstr>
      <vt:lpstr>'22-41'!Description</vt:lpstr>
      <vt:lpstr>'22-55'!Description</vt:lpstr>
      <vt:lpstr>'22-75'!Description</vt:lpstr>
      <vt:lpstr>'22-76'!Description</vt:lpstr>
      <vt:lpstr>'26-16'!Description</vt:lpstr>
      <vt:lpstr>'26-16-7020'!Description</vt:lpstr>
      <vt:lpstr>'26-16-7025'!Description</vt:lpstr>
      <vt:lpstr>'26-16-7030'!Description</vt:lpstr>
      <vt:lpstr>'26-17'!Description</vt:lpstr>
      <vt:lpstr>'26-19'!Description</vt:lpstr>
      <vt:lpstr>'34-31'!Description</vt:lpstr>
      <vt:lpstr>'34-32'!Description</vt:lpstr>
      <vt:lpstr>'34-33'!Description</vt:lpstr>
      <vt:lpstr>'34-34'!Description</vt:lpstr>
      <vt:lpstr>'34-35'!Description</vt:lpstr>
      <vt:lpstr>'42-42'!Description</vt:lpstr>
      <vt:lpstr>'42-43'!Description</vt:lpstr>
      <vt:lpstr>'42-44'!Description</vt:lpstr>
      <vt:lpstr>'42-45'!Description</vt:lpstr>
      <vt:lpstr>'42-46'!Description</vt:lpstr>
      <vt:lpstr>'42-47'!Description</vt:lpstr>
      <vt:lpstr>'46-21'!Description</vt:lpstr>
      <vt:lpstr>'46-21-4280'!Description</vt:lpstr>
      <vt:lpstr>'46-22'!Description</vt:lpstr>
      <vt:lpstr>'46-23'!Description</vt:lpstr>
      <vt:lpstr>'46-23-4290'!Description</vt:lpstr>
      <vt:lpstr>'46-25'!Description</vt:lpstr>
      <vt:lpstr>'54-24-7540'!Description</vt:lpstr>
      <vt:lpstr>'54-26'!Description</vt:lpstr>
      <vt:lpstr>'54-27-7545'!Description</vt:lpstr>
      <vt:lpstr>'54-32'!Description</vt:lpstr>
      <vt:lpstr>'54-32-7601'!Description</vt:lpstr>
      <vt:lpstr>'54-33-7560'!Description</vt:lpstr>
      <vt:lpstr>'54-53-7550'!Description</vt:lpstr>
      <vt:lpstr>'54-55-7580'!Description</vt:lpstr>
      <vt:lpstr>'54-76-7500'!Description</vt:lpstr>
      <vt:lpstr>'62-51'!Description</vt:lpstr>
      <vt:lpstr>'62-53'!Description</vt:lpstr>
      <vt:lpstr>'62-54'!Description</vt:lpstr>
      <vt:lpstr>'62-74'!Description</vt:lpstr>
      <vt:lpstr>'66-12'!Description</vt:lpstr>
      <vt:lpstr>'66-13'!Description</vt:lpstr>
      <vt:lpstr>'66-18'!Description</vt:lpstr>
      <vt:lpstr>'66-19'!Description</vt:lpstr>
      <vt:lpstr>'66-74'!Description</vt:lpstr>
      <vt:lpstr>'66-82'!Description</vt:lpstr>
      <vt:lpstr>'67-14'!Description</vt:lpstr>
      <vt:lpstr>'67-83-3610'!Description</vt:lpstr>
      <vt:lpstr>'67-83-3630'!Description</vt:lpstr>
      <vt:lpstr>'67-83-3640'!Description</vt:lpstr>
      <vt:lpstr>'67-83-3650'!Description</vt:lpstr>
      <vt:lpstr>'74-36'!Description</vt:lpstr>
      <vt:lpstr>'74-36-2405'!Description</vt:lpstr>
      <vt:lpstr>'74-36-2410'!Description</vt:lpstr>
      <vt:lpstr>'74-36-2415'!Description</vt:lpstr>
      <vt:lpstr>'74-36-2416'!Description</vt:lpstr>
      <vt:lpstr>'74-36-2417'!Description</vt:lpstr>
      <vt:lpstr>'74-36-2430'!Description</vt:lpstr>
      <vt:lpstr>'74-36-2440'!Description</vt:lpstr>
      <vt:lpstr>'74-36-2445'!Description</vt:lpstr>
      <vt:lpstr>'74-36-2450'!Description</vt:lpstr>
      <vt:lpstr>'74-36-2455'!Description</vt:lpstr>
      <vt:lpstr>'74-36-2460'!Description</vt:lpstr>
      <vt:lpstr>'74-36-2465'!Description</vt:lpstr>
      <vt:lpstr>'74-36-2470'!Description</vt:lpstr>
      <vt:lpstr>'74-36-2475'!Description</vt:lpstr>
      <vt:lpstr>'74-36-2480'!Description</vt:lpstr>
      <vt:lpstr>'74-36-2485'!Description</vt:lpstr>
      <vt:lpstr>'74-37'!Description</vt:lpstr>
      <vt:lpstr>'74-37-2541'!Description</vt:lpstr>
      <vt:lpstr>'74-74'!Description</vt:lpstr>
      <vt:lpstr>'78-11'!Description</vt:lpstr>
      <vt:lpstr>'78-61'!Description</vt:lpstr>
      <vt:lpstr>'78-62'!Description</vt:lpstr>
      <vt:lpstr>'78-64'!Description</vt:lpstr>
      <vt:lpstr>'82-52'!Description</vt:lpstr>
      <vt:lpstr>'82-72'!Description</vt:lpstr>
      <vt:lpstr>'82-72-2066'!Description</vt:lpstr>
      <vt:lpstr>'82-73'!Description</vt:lpstr>
      <vt:lpstr>'82-74'!Description</vt:lpstr>
      <vt:lpstr>'82-74-2020'!Description</vt:lpstr>
      <vt:lpstr>'82-74-2026'!Description</vt:lpstr>
      <vt:lpstr>'82-74-2034'!Description</vt:lpstr>
      <vt:lpstr>'82-74-2052'!Description</vt:lpstr>
      <vt:lpstr>'82-74-2056'!Description</vt:lpstr>
      <vt:lpstr>'82-74-2057'!Description</vt:lpstr>
      <vt:lpstr>'82-74-2065'!Description</vt:lpstr>
      <vt:lpstr>'82-75'!Description</vt:lpstr>
      <vt:lpstr>'82-76'!Description</vt:lpstr>
      <vt:lpstr>'82-82'!Description</vt:lpstr>
      <vt:lpstr>'82-82-2096'!Description</vt:lpstr>
      <vt:lpstr>'82-82-2097'!Description</vt:lpstr>
      <vt:lpstr>'82-82-2098'!Description</vt:lpstr>
      <vt:lpstr>'90-72-9148'!Description</vt:lpstr>
      <vt:lpstr>'94-74-9410'!Description</vt:lpstr>
      <vt:lpstr>'98-15'!Description</vt:lpstr>
      <vt:lpstr>'01-71-0001'!FiscalYear</vt:lpstr>
      <vt:lpstr>'01-71-0002'!FiscalYear</vt:lpstr>
      <vt:lpstr>'01-71-0003'!FiscalYear</vt:lpstr>
      <vt:lpstr>'01-77'!FiscalYear</vt:lpstr>
      <vt:lpstr>'06-76'!FiscalYear</vt:lpstr>
      <vt:lpstr>'10-49'!FiscalYear</vt:lpstr>
      <vt:lpstr>'14-52'!FiscalYear</vt:lpstr>
      <vt:lpstr>'16-55'!FiscalYear</vt:lpstr>
      <vt:lpstr>'22-41'!FiscalYear</vt:lpstr>
      <vt:lpstr>'22-55'!FiscalYear</vt:lpstr>
      <vt:lpstr>'22-75'!FiscalYear</vt:lpstr>
      <vt:lpstr>'22-76'!FiscalYear</vt:lpstr>
      <vt:lpstr>'26-16'!FiscalYear</vt:lpstr>
      <vt:lpstr>'26-16-7020'!FiscalYear</vt:lpstr>
      <vt:lpstr>'26-16-7025'!FiscalYear</vt:lpstr>
      <vt:lpstr>'26-16-7030'!FiscalYear</vt:lpstr>
      <vt:lpstr>'26-17'!FiscalYear</vt:lpstr>
      <vt:lpstr>'26-19'!FiscalYear</vt:lpstr>
      <vt:lpstr>'34-31'!FiscalYear</vt:lpstr>
      <vt:lpstr>'34-32'!FiscalYear</vt:lpstr>
      <vt:lpstr>'34-33'!FiscalYear</vt:lpstr>
      <vt:lpstr>'34-34'!FiscalYear</vt:lpstr>
      <vt:lpstr>'34-35'!FiscalYear</vt:lpstr>
      <vt:lpstr>'42-42'!FiscalYear</vt:lpstr>
      <vt:lpstr>'42-43'!FiscalYear</vt:lpstr>
      <vt:lpstr>'42-44'!FiscalYear</vt:lpstr>
      <vt:lpstr>'42-45'!FiscalYear</vt:lpstr>
      <vt:lpstr>'42-46'!FiscalYear</vt:lpstr>
      <vt:lpstr>'42-47'!FiscalYear</vt:lpstr>
      <vt:lpstr>'46-21'!FiscalYear</vt:lpstr>
      <vt:lpstr>'46-21-4280'!FiscalYear</vt:lpstr>
      <vt:lpstr>'46-22'!FiscalYear</vt:lpstr>
      <vt:lpstr>'46-23'!FiscalYear</vt:lpstr>
      <vt:lpstr>'46-23-4290'!FiscalYear</vt:lpstr>
      <vt:lpstr>'46-25'!FiscalYear</vt:lpstr>
      <vt:lpstr>'54-24-7540'!FiscalYear</vt:lpstr>
      <vt:lpstr>'54-26'!FiscalYear</vt:lpstr>
      <vt:lpstr>'54-27-7545'!FiscalYear</vt:lpstr>
      <vt:lpstr>'54-32'!FiscalYear</vt:lpstr>
      <vt:lpstr>'54-32-7601'!FiscalYear</vt:lpstr>
      <vt:lpstr>'54-33-7560'!FiscalYear</vt:lpstr>
      <vt:lpstr>'54-53-7550'!FiscalYear</vt:lpstr>
      <vt:lpstr>'54-55-7580'!FiscalYear</vt:lpstr>
      <vt:lpstr>'54-76-7500'!FiscalYear</vt:lpstr>
      <vt:lpstr>'62-51'!FiscalYear</vt:lpstr>
      <vt:lpstr>'62-53'!FiscalYear</vt:lpstr>
      <vt:lpstr>'62-54'!FiscalYear</vt:lpstr>
      <vt:lpstr>'62-74'!FiscalYear</vt:lpstr>
      <vt:lpstr>'66-12'!FiscalYear</vt:lpstr>
      <vt:lpstr>'66-13'!FiscalYear</vt:lpstr>
      <vt:lpstr>'66-18'!FiscalYear</vt:lpstr>
      <vt:lpstr>'66-19'!FiscalYear</vt:lpstr>
      <vt:lpstr>'66-74'!FiscalYear</vt:lpstr>
      <vt:lpstr>'66-82'!FiscalYear</vt:lpstr>
      <vt:lpstr>'67-14'!FiscalYear</vt:lpstr>
      <vt:lpstr>'67-83-3610'!FiscalYear</vt:lpstr>
      <vt:lpstr>'67-83-3630'!FiscalYear</vt:lpstr>
      <vt:lpstr>'67-83-3640'!FiscalYear</vt:lpstr>
      <vt:lpstr>'67-83-3650'!FiscalYear</vt:lpstr>
      <vt:lpstr>'74-36'!FiscalYear</vt:lpstr>
      <vt:lpstr>'74-36-2405'!FiscalYear</vt:lpstr>
      <vt:lpstr>'74-36-2410'!FiscalYear</vt:lpstr>
      <vt:lpstr>'74-36-2415'!FiscalYear</vt:lpstr>
      <vt:lpstr>'74-36-2416'!FiscalYear</vt:lpstr>
      <vt:lpstr>'74-36-2417'!FiscalYear</vt:lpstr>
      <vt:lpstr>'74-36-2430'!FiscalYear</vt:lpstr>
      <vt:lpstr>'74-36-2440'!FiscalYear</vt:lpstr>
      <vt:lpstr>'74-36-2445'!FiscalYear</vt:lpstr>
      <vt:lpstr>'74-36-2450'!FiscalYear</vt:lpstr>
      <vt:lpstr>'74-36-2455'!FiscalYear</vt:lpstr>
      <vt:lpstr>'74-36-2460'!FiscalYear</vt:lpstr>
      <vt:lpstr>'74-36-2465'!FiscalYear</vt:lpstr>
      <vt:lpstr>'74-36-2470'!FiscalYear</vt:lpstr>
      <vt:lpstr>'74-36-2475'!FiscalYear</vt:lpstr>
      <vt:lpstr>'74-36-2480'!FiscalYear</vt:lpstr>
      <vt:lpstr>'74-36-2485'!FiscalYear</vt:lpstr>
      <vt:lpstr>'74-37'!FiscalYear</vt:lpstr>
      <vt:lpstr>'74-37-2541'!FiscalYear</vt:lpstr>
      <vt:lpstr>'74-74'!FiscalYear</vt:lpstr>
      <vt:lpstr>'78-11'!FiscalYear</vt:lpstr>
      <vt:lpstr>'78-61'!FiscalYear</vt:lpstr>
      <vt:lpstr>'78-62'!FiscalYear</vt:lpstr>
      <vt:lpstr>'78-64'!FiscalYear</vt:lpstr>
      <vt:lpstr>'82-52'!FiscalYear</vt:lpstr>
      <vt:lpstr>'82-72'!FiscalYear</vt:lpstr>
      <vt:lpstr>'82-72-2066'!FiscalYear</vt:lpstr>
      <vt:lpstr>'82-73'!FiscalYear</vt:lpstr>
      <vt:lpstr>'82-74'!FiscalYear</vt:lpstr>
      <vt:lpstr>'82-74-2020'!FiscalYear</vt:lpstr>
      <vt:lpstr>'82-74-2026'!FiscalYear</vt:lpstr>
      <vt:lpstr>'82-74-2034'!FiscalYear</vt:lpstr>
      <vt:lpstr>'82-74-2052'!FiscalYear</vt:lpstr>
      <vt:lpstr>'82-74-2056'!FiscalYear</vt:lpstr>
      <vt:lpstr>'82-74-2057'!FiscalYear</vt:lpstr>
      <vt:lpstr>'82-74-2065'!FiscalYear</vt:lpstr>
      <vt:lpstr>'82-75'!FiscalYear</vt:lpstr>
      <vt:lpstr>'82-76'!FiscalYear</vt:lpstr>
      <vt:lpstr>'82-82'!FiscalYear</vt:lpstr>
      <vt:lpstr>'82-82-2096'!FiscalYear</vt:lpstr>
      <vt:lpstr>'82-82-2097'!FiscalYear</vt:lpstr>
      <vt:lpstr>'82-82-2098'!FiscalYear</vt:lpstr>
      <vt:lpstr>'90-72-9148'!FiscalYear</vt:lpstr>
      <vt:lpstr>'94-74-9410'!FiscalYear</vt:lpstr>
      <vt:lpstr>'98-15'!FiscalYear</vt:lpstr>
      <vt:lpstr>'01-71-0001'!Fy_2</vt:lpstr>
      <vt:lpstr>'01-71-0002'!Fy_2</vt:lpstr>
      <vt:lpstr>'01-71-0003'!Fy_2</vt:lpstr>
      <vt:lpstr>'01-77'!Fy_2</vt:lpstr>
      <vt:lpstr>'06-76'!Fy_2</vt:lpstr>
      <vt:lpstr>'10-49'!Fy_2</vt:lpstr>
      <vt:lpstr>'14-52'!Fy_2</vt:lpstr>
      <vt:lpstr>'16-55'!Fy_2</vt:lpstr>
      <vt:lpstr>'22-41'!Fy_2</vt:lpstr>
      <vt:lpstr>'22-55'!Fy_2</vt:lpstr>
      <vt:lpstr>'22-75'!Fy_2</vt:lpstr>
      <vt:lpstr>'22-76'!Fy_2</vt:lpstr>
      <vt:lpstr>'26-16'!Fy_2</vt:lpstr>
      <vt:lpstr>'26-16-7020'!Fy_2</vt:lpstr>
      <vt:lpstr>'26-16-7025'!Fy_2</vt:lpstr>
      <vt:lpstr>'26-16-7030'!Fy_2</vt:lpstr>
      <vt:lpstr>'26-17'!Fy_2</vt:lpstr>
      <vt:lpstr>'26-19'!Fy_2</vt:lpstr>
      <vt:lpstr>'34-31'!Fy_2</vt:lpstr>
      <vt:lpstr>'34-32'!Fy_2</vt:lpstr>
      <vt:lpstr>'34-33'!Fy_2</vt:lpstr>
      <vt:lpstr>'34-34'!Fy_2</vt:lpstr>
      <vt:lpstr>'34-35'!Fy_2</vt:lpstr>
      <vt:lpstr>'42-42'!Fy_2</vt:lpstr>
      <vt:lpstr>'42-43'!Fy_2</vt:lpstr>
      <vt:lpstr>'42-44'!Fy_2</vt:lpstr>
      <vt:lpstr>'42-45'!Fy_2</vt:lpstr>
      <vt:lpstr>'42-46'!Fy_2</vt:lpstr>
      <vt:lpstr>'42-47'!Fy_2</vt:lpstr>
      <vt:lpstr>'46-21'!Fy_2</vt:lpstr>
      <vt:lpstr>'46-21-4280'!Fy_2</vt:lpstr>
      <vt:lpstr>'46-22'!Fy_2</vt:lpstr>
      <vt:lpstr>'46-23'!Fy_2</vt:lpstr>
      <vt:lpstr>'46-23-4290'!Fy_2</vt:lpstr>
      <vt:lpstr>'46-25'!Fy_2</vt:lpstr>
      <vt:lpstr>'54-24-7540'!Fy_2</vt:lpstr>
      <vt:lpstr>'54-26'!Fy_2</vt:lpstr>
      <vt:lpstr>'54-27-7545'!Fy_2</vt:lpstr>
      <vt:lpstr>'54-32'!Fy_2</vt:lpstr>
      <vt:lpstr>'54-32-7601'!Fy_2</vt:lpstr>
      <vt:lpstr>'54-33-7560'!Fy_2</vt:lpstr>
      <vt:lpstr>'54-53-7550'!Fy_2</vt:lpstr>
      <vt:lpstr>'54-55-7580'!Fy_2</vt:lpstr>
      <vt:lpstr>'54-76-7500'!Fy_2</vt:lpstr>
      <vt:lpstr>'62-51'!Fy_2</vt:lpstr>
      <vt:lpstr>'62-53'!Fy_2</vt:lpstr>
      <vt:lpstr>'62-54'!Fy_2</vt:lpstr>
      <vt:lpstr>'62-74'!Fy_2</vt:lpstr>
      <vt:lpstr>'66-12'!Fy_2</vt:lpstr>
      <vt:lpstr>'66-13'!Fy_2</vt:lpstr>
      <vt:lpstr>'66-18'!Fy_2</vt:lpstr>
      <vt:lpstr>'66-19'!Fy_2</vt:lpstr>
      <vt:lpstr>'66-74'!Fy_2</vt:lpstr>
      <vt:lpstr>'66-82'!Fy_2</vt:lpstr>
      <vt:lpstr>'67-14'!Fy_2</vt:lpstr>
      <vt:lpstr>'67-83-3610'!Fy_2</vt:lpstr>
      <vt:lpstr>'67-83-3630'!Fy_2</vt:lpstr>
      <vt:lpstr>'67-83-3640'!Fy_2</vt:lpstr>
      <vt:lpstr>'67-83-3650'!Fy_2</vt:lpstr>
      <vt:lpstr>'74-36'!Fy_2</vt:lpstr>
      <vt:lpstr>'74-36-2405'!Fy_2</vt:lpstr>
      <vt:lpstr>'74-36-2410'!Fy_2</vt:lpstr>
      <vt:lpstr>'74-36-2415'!Fy_2</vt:lpstr>
      <vt:lpstr>'74-36-2416'!Fy_2</vt:lpstr>
      <vt:lpstr>'74-36-2417'!Fy_2</vt:lpstr>
      <vt:lpstr>'74-36-2430'!Fy_2</vt:lpstr>
      <vt:lpstr>'74-36-2440'!Fy_2</vt:lpstr>
      <vt:lpstr>'74-36-2445'!Fy_2</vt:lpstr>
      <vt:lpstr>'74-36-2450'!Fy_2</vt:lpstr>
      <vt:lpstr>'74-36-2455'!Fy_2</vt:lpstr>
      <vt:lpstr>'74-36-2460'!Fy_2</vt:lpstr>
      <vt:lpstr>'74-36-2465'!Fy_2</vt:lpstr>
      <vt:lpstr>'74-36-2470'!Fy_2</vt:lpstr>
      <vt:lpstr>'74-36-2475'!Fy_2</vt:lpstr>
      <vt:lpstr>'74-36-2480'!Fy_2</vt:lpstr>
      <vt:lpstr>'74-36-2485'!Fy_2</vt:lpstr>
      <vt:lpstr>'74-37'!Fy_2</vt:lpstr>
      <vt:lpstr>'74-37-2541'!Fy_2</vt:lpstr>
      <vt:lpstr>'74-74'!Fy_2</vt:lpstr>
      <vt:lpstr>'78-11'!Fy_2</vt:lpstr>
      <vt:lpstr>'78-61'!Fy_2</vt:lpstr>
      <vt:lpstr>'78-62'!Fy_2</vt:lpstr>
      <vt:lpstr>'78-64'!Fy_2</vt:lpstr>
      <vt:lpstr>'82-52'!Fy_2</vt:lpstr>
      <vt:lpstr>'82-72'!Fy_2</vt:lpstr>
      <vt:lpstr>'82-72-2066'!Fy_2</vt:lpstr>
      <vt:lpstr>'82-73'!Fy_2</vt:lpstr>
      <vt:lpstr>'82-74'!Fy_2</vt:lpstr>
      <vt:lpstr>'82-74-2020'!Fy_2</vt:lpstr>
      <vt:lpstr>'82-74-2026'!Fy_2</vt:lpstr>
      <vt:lpstr>'82-74-2034'!Fy_2</vt:lpstr>
      <vt:lpstr>'82-74-2052'!Fy_2</vt:lpstr>
      <vt:lpstr>'82-74-2056'!Fy_2</vt:lpstr>
      <vt:lpstr>'82-74-2057'!Fy_2</vt:lpstr>
      <vt:lpstr>'82-74-2065'!Fy_2</vt:lpstr>
      <vt:lpstr>'82-75'!Fy_2</vt:lpstr>
      <vt:lpstr>'82-76'!Fy_2</vt:lpstr>
      <vt:lpstr>'82-82'!Fy_2</vt:lpstr>
      <vt:lpstr>'82-82-2096'!Fy_2</vt:lpstr>
      <vt:lpstr>'82-82-2097'!Fy_2</vt:lpstr>
      <vt:lpstr>'82-82-2098'!Fy_2</vt:lpstr>
      <vt:lpstr>'90-72-9148'!Fy_2</vt:lpstr>
      <vt:lpstr>'94-74-9410'!Fy_2</vt:lpstr>
      <vt:lpstr>'98-15'!Fy_2</vt:lpstr>
      <vt:lpstr>'01-71-0001'!Fy_3</vt:lpstr>
      <vt:lpstr>'01-71-0002'!Fy_3</vt:lpstr>
      <vt:lpstr>'01-71-0003'!Fy_3</vt:lpstr>
      <vt:lpstr>'01-77'!Fy_3</vt:lpstr>
      <vt:lpstr>'06-76'!Fy_3</vt:lpstr>
      <vt:lpstr>'10-49'!Fy_3</vt:lpstr>
      <vt:lpstr>'14-52'!Fy_3</vt:lpstr>
      <vt:lpstr>'16-55'!Fy_3</vt:lpstr>
      <vt:lpstr>'22-41'!Fy_3</vt:lpstr>
      <vt:lpstr>'22-55'!Fy_3</vt:lpstr>
      <vt:lpstr>'22-75'!Fy_3</vt:lpstr>
      <vt:lpstr>'22-76'!Fy_3</vt:lpstr>
      <vt:lpstr>'26-16'!Fy_3</vt:lpstr>
      <vt:lpstr>'26-16-7020'!Fy_3</vt:lpstr>
      <vt:lpstr>'26-16-7025'!Fy_3</vt:lpstr>
      <vt:lpstr>'26-16-7030'!Fy_3</vt:lpstr>
      <vt:lpstr>'26-17'!Fy_3</vt:lpstr>
      <vt:lpstr>'26-19'!Fy_3</vt:lpstr>
      <vt:lpstr>'34-31'!Fy_3</vt:lpstr>
      <vt:lpstr>'34-32'!Fy_3</vt:lpstr>
      <vt:lpstr>'34-33'!Fy_3</vt:lpstr>
      <vt:lpstr>'34-34'!Fy_3</vt:lpstr>
      <vt:lpstr>'34-35'!Fy_3</vt:lpstr>
      <vt:lpstr>'42-42'!Fy_3</vt:lpstr>
      <vt:lpstr>'42-43'!Fy_3</vt:lpstr>
      <vt:lpstr>'42-44'!Fy_3</vt:lpstr>
      <vt:lpstr>'42-45'!Fy_3</vt:lpstr>
      <vt:lpstr>'42-46'!Fy_3</vt:lpstr>
      <vt:lpstr>'42-47'!Fy_3</vt:lpstr>
      <vt:lpstr>'46-21'!Fy_3</vt:lpstr>
      <vt:lpstr>'46-21-4280'!Fy_3</vt:lpstr>
      <vt:lpstr>'46-22'!Fy_3</vt:lpstr>
      <vt:lpstr>'46-23'!Fy_3</vt:lpstr>
      <vt:lpstr>'46-23-4290'!Fy_3</vt:lpstr>
      <vt:lpstr>'46-25'!Fy_3</vt:lpstr>
      <vt:lpstr>'54-24-7540'!Fy_3</vt:lpstr>
      <vt:lpstr>'54-26'!Fy_3</vt:lpstr>
      <vt:lpstr>'54-27-7545'!Fy_3</vt:lpstr>
      <vt:lpstr>'54-32'!Fy_3</vt:lpstr>
      <vt:lpstr>'54-32-7601'!Fy_3</vt:lpstr>
      <vt:lpstr>'54-33-7560'!Fy_3</vt:lpstr>
      <vt:lpstr>'54-53-7550'!Fy_3</vt:lpstr>
      <vt:lpstr>'54-55-7580'!Fy_3</vt:lpstr>
      <vt:lpstr>'54-76-7500'!Fy_3</vt:lpstr>
      <vt:lpstr>'62-51'!Fy_3</vt:lpstr>
      <vt:lpstr>'62-53'!Fy_3</vt:lpstr>
      <vt:lpstr>'62-54'!Fy_3</vt:lpstr>
      <vt:lpstr>'62-74'!Fy_3</vt:lpstr>
      <vt:lpstr>'66-12'!Fy_3</vt:lpstr>
      <vt:lpstr>'66-13'!Fy_3</vt:lpstr>
      <vt:lpstr>'66-18'!Fy_3</vt:lpstr>
      <vt:lpstr>'66-19'!Fy_3</vt:lpstr>
      <vt:lpstr>'66-74'!Fy_3</vt:lpstr>
      <vt:lpstr>'66-82'!Fy_3</vt:lpstr>
      <vt:lpstr>'67-14'!Fy_3</vt:lpstr>
      <vt:lpstr>'67-83-3610'!Fy_3</vt:lpstr>
      <vt:lpstr>'67-83-3630'!Fy_3</vt:lpstr>
      <vt:lpstr>'67-83-3640'!Fy_3</vt:lpstr>
      <vt:lpstr>'67-83-3650'!Fy_3</vt:lpstr>
      <vt:lpstr>'74-36'!Fy_3</vt:lpstr>
      <vt:lpstr>'74-36-2405'!Fy_3</vt:lpstr>
      <vt:lpstr>'74-36-2410'!Fy_3</vt:lpstr>
      <vt:lpstr>'74-36-2415'!Fy_3</vt:lpstr>
      <vt:lpstr>'74-36-2416'!Fy_3</vt:lpstr>
      <vt:lpstr>'74-36-2417'!Fy_3</vt:lpstr>
      <vt:lpstr>'74-36-2430'!Fy_3</vt:lpstr>
      <vt:lpstr>'74-36-2440'!Fy_3</vt:lpstr>
      <vt:lpstr>'74-36-2445'!Fy_3</vt:lpstr>
      <vt:lpstr>'74-36-2450'!Fy_3</vt:lpstr>
      <vt:lpstr>'74-36-2455'!Fy_3</vt:lpstr>
      <vt:lpstr>'74-36-2460'!Fy_3</vt:lpstr>
      <vt:lpstr>'74-36-2465'!Fy_3</vt:lpstr>
      <vt:lpstr>'74-36-2470'!Fy_3</vt:lpstr>
      <vt:lpstr>'74-36-2475'!Fy_3</vt:lpstr>
      <vt:lpstr>'74-36-2480'!Fy_3</vt:lpstr>
      <vt:lpstr>'74-36-2485'!Fy_3</vt:lpstr>
      <vt:lpstr>'74-37'!Fy_3</vt:lpstr>
      <vt:lpstr>'74-37-2541'!Fy_3</vt:lpstr>
      <vt:lpstr>'74-74'!Fy_3</vt:lpstr>
      <vt:lpstr>'78-11'!Fy_3</vt:lpstr>
      <vt:lpstr>'78-61'!Fy_3</vt:lpstr>
      <vt:lpstr>'78-62'!Fy_3</vt:lpstr>
      <vt:lpstr>'78-64'!Fy_3</vt:lpstr>
      <vt:lpstr>'82-52'!Fy_3</vt:lpstr>
      <vt:lpstr>'82-72'!Fy_3</vt:lpstr>
      <vt:lpstr>'82-72-2066'!Fy_3</vt:lpstr>
      <vt:lpstr>'82-73'!Fy_3</vt:lpstr>
      <vt:lpstr>'82-74'!Fy_3</vt:lpstr>
      <vt:lpstr>'82-74-2020'!Fy_3</vt:lpstr>
      <vt:lpstr>'82-74-2026'!Fy_3</vt:lpstr>
      <vt:lpstr>'82-74-2034'!Fy_3</vt:lpstr>
      <vt:lpstr>'82-74-2052'!Fy_3</vt:lpstr>
      <vt:lpstr>'82-74-2056'!Fy_3</vt:lpstr>
      <vt:lpstr>'82-74-2057'!Fy_3</vt:lpstr>
      <vt:lpstr>'82-74-2065'!Fy_3</vt:lpstr>
      <vt:lpstr>'82-75'!Fy_3</vt:lpstr>
      <vt:lpstr>'82-76'!Fy_3</vt:lpstr>
      <vt:lpstr>'82-82'!Fy_3</vt:lpstr>
      <vt:lpstr>'82-82-2096'!Fy_3</vt:lpstr>
      <vt:lpstr>'82-82-2097'!Fy_3</vt:lpstr>
      <vt:lpstr>'82-82-2098'!Fy_3</vt:lpstr>
      <vt:lpstr>'90-72-9148'!Fy_3</vt:lpstr>
      <vt:lpstr>'94-74-9410'!Fy_3</vt:lpstr>
      <vt:lpstr>'98-15'!Fy_3</vt:lpstr>
      <vt:lpstr>'01-71-0001'!ileafHeader</vt:lpstr>
      <vt:lpstr>'01-71-0002'!ileafHeader</vt:lpstr>
      <vt:lpstr>'01-71-0003'!ileafHeader</vt:lpstr>
      <vt:lpstr>'01-77'!ileafHeader</vt:lpstr>
      <vt:lpstr>'06-76'!ileafHeader</vt:lpstr>
      <vt:lpstr>'10-49'!ileafHeader</vt:lpstr>
      <vt:lpstr>'14-52'!ileafHeader</vt:lpstr>
      <vt:lpstr>'16-55'!ileafHeader</vt:lpstr>
      <vt:lpstr>'22-41'!ileafHeader</vt:lpstr>
      <vt:lpstr>'22-55'!ileafHeader</vt:lpstr>
      <vt:lpstr>'22-75'!ileafHeader</vt:lpstr>
      <vt:lpstr>'22-76'!ileafHeader</vt:lpstr>
      <vt:lpstr>'26-16'!ileafHeader</vt:lpstr>
      <vt:lpstr>'26-16-7020'!ileafHeader</vt:lpstr>
      <vt:lpstr>'26-16-7025'!ileafHeader</vt:lpstr>
      <vt:lpstr>'26-16-7030'!ileafHeader</vt:lpstr>
      <vt:lpstr>'26-17'!ileafHeader</vt:lpstr>
      <vt:lpstr>'26-19'!ileafHeader</vt:lpstr>
      <vt:lpstr>'34-31'!ileafHeader</vt:lpstr>
      <vt:lpstr>'34-32'!ileafHeader</vt:lpstr>
      <vt:lpstr>'34-33'!ileafHeader</vt:lpstr>
      <vt:lpstr>'34-34'!ileafHeader</vt:lpstr>
      <vt:lpstr>'34-35'!ileafHeader</vt:lpstr>
      <vt:lpstr>'42-42'!ileafHeader</vt:lpstr>
      <vt:lpstr>'42-43'!ileafHeader</vt:lpstr>
      <vt:lpstr>'42-44'!ileafHeader</vt:lpstr>
      <vt:lpstr>'42-45'!ileafHeader</vt:lpstr>
      <vt:lpstr>'42-46'!ileafHeader</vt:lpstr>
      <vt:lpstr>'42-47'!ileafHeader</vt:lpstr>
      <vt:lpstr>'46-21'!ileafHeader</vt:lpstr>
      <vt:lpstr>'46-21-4280'!ileafHeader</vt:lpstr>
      <vt:lpstr>'46-22'!ileafHeader</vt:lpstr>
      <vt:lpstr>'46-23'!ileafHeader</vt:lpstr>
      <vt:lpstr>'46-23-4290'!ileafHeader</vt:lpstr>
      <vt:lpstr>'46-25'!ileafHeader</vt:lpstr>
      <vt:lpstr>'54-24-7540'!ileafHeader</vt:lpstr>
      <vt:lpstr>'54-26'!ileafHeader</vt:lpstr>
      <vt:lpstr>'54-27-7545'!ileafHeader</vt:lpstr>
      <vt:lpstr>'54-32'!ileafHeader</vt:lpstr>
      <vt:lpstr>'54-32-7601'!ileafHeader</vt:lpstr>
      <vt:lpstr>'54-33-7560'!ileafHeader</vt:lpstr>
      <vt:lpstr>'54-53-7550'!ileafHeader</vt:lpstr>
      <vt:lpstr>'54-55-7580'!ileafHeader</vt:lpstr>
      <vt:lpstr>'54-76-7500'!ileafHeader</vt:lpstr>
      <vt:lpstr>'62-51'!ileafHeader</vt:lpstr>
      <vt:lpstr>'62-53'!ileafHeader</vt:lpstr>
      <vt:lpstr>'62-54'!ileafHeader</vt:lpstr>
      <vt:lpstr>'62-74'!ileafHeader</vt:lpstr>
      <vt:lpstr>'66-12'!ileafHeader</vt:lpstr>
      <vt:lpstr>'66-13'!ileafHeader</vt:lpstr>
      <vt:lpstr>'66-18'!ileafHeader</vt:lpstr>
      <vt:lpstr>'66-19'!ileafHeader</vt:lpstr>
      <vt:lpstr>'66-74'!ileafHeader</vt:lpstr>
      <vt:lpstr>'66-82'!ileafHeader</vt:lpstr>
      <vt:lpstr>'67-14'!ileafHeader</vt:lpstr>
      <vt:lpstr>'67-83-3610'!ileafHeader</vt:lpstr>
      <vt:lpstr>'67-83-3630'!ileafHeader</vt:lpstr>
      <vt:lpstr>'67-83-3640'!ileafHeader</vt:lpstr>
      <vt:lpstr>'67-83-3650'!ileafHeader</vt:lpstr>
      <vt:lpstr>'74-36'!ileafHeader</vt:lpstr>
      <vt:lpstr>'74-36-2405'!ileafHeader</vt:lpstr>
      <vt:lpstr>'74-36-2410'!ileafHeader</vt:lpstr>
      <vt:lpstr>'74-36-2415'!ileafHeader</vt:lpstr>
      <vt:lpstr>'74-36-2416'!ileafHeader</vt:lpstr>
      <vt:lpstr>'74-36-2417'!ileafHeader</vt:lpstr>
      <vt:lpstr>'74-36-2430'!ileafHeader</vt:lpstr>
      <vt:lpstr>'74-36-2440'!ileafHeader</vt:lpstr>
      <vt:lpstr>'74-36-2445'!ileafHeader</vt:lpstr>
      <vt:lpstr>'74-36-2450'!ileafHeader</vt:lpstr>
      <vt:lpstr>'74-36-2455'!ileafHeader</vt:lpstr>
      <vt:lpstr>'74-36-2460'!ileafHeader</vt:lpstr>
      <vt:lpstr>'74-36-2465'!ileafHeader</vt:lpstr>
      <vt:lpstr>'74-36-2470'!ileafHeader</vt:lpstr>
      <vt:lpstr>'74-36-2475'!ileafHeader</vt:lpstr>
      <vt:lpstr>'74-36-2480'!ileafHeader</vt:lpstr>
      <vt:lpstr>'74-36-2485'!ileafHeader</vt:lpstr>
      <vt:lpstr>'74-37'!ileafHeader</vt:lpstr>
      <vt:lpstr>'74-37-2541'!ileafHeader</vt:lpstr>
      <vt:lpstr>'74-74'!ileafHeader</vt:lpstr>
      <vt:lpstr>'78-11'!ileafHeader</vt:lpstr>
      <vt:lpstr>'78-61'!ileafHeader</vt:lpstr>
      <vt:lpstr>'78-62'!ileafHeader</vt:lpstr>
      <vt:lpstr>'78-64'!ileafHeader</vt:lpstr>
      <vt:lpstr>'82-52'!ileafHeader</vt:lpstr>
      <vt:lpstr>'82-72'!ileafHeader</vt:lpstr>
      <vt:lpstr>'82-72-2066'!ileafHeader</vt:lpstr>
      <vt:lpstr>'82-73'!ileafHeader</vt:lpstr>
      <vt:lpstr>'82-74'!ileafHeader</vt:lpstr>
      <vt:lpstr>'82-74-2020'!ileafHeader</vt:lpstr>
      <vt:lpstr>'82-74-2026'!ileafHeader</vt:lpstr>
      <vt:lpstr>'82-74-2034'!ileafHeader</vt:lpstr>
      <vt:lpstr>'82-74-2052'!ileafHeader</vt:lpstr>
      <vt:lpstr>'82-74-2056'!ileafHeader</vt:lpstr>
      <vt:lpstr>'82-74-2057'!ileafHeader</vt:lpstr>
      <vt:lpstr>'82-74-2065'!ileafHeader</vt:lpstr>
      <vt:lpstr>'82-75'!ileafHeader</vt:lpstr>
      <vt:lpstr>'82-76'!ileafHeader</vt:lpstr>
      <vt:lpstr>'82-82'!ileafHeader</vt:lpstr>
      <vt:lpstr>'82-82-2096'!ileafHeader</vt:lpstr>
      <vt:lpstr>'82-82-2097'!ileafHeader</vt:lpstr>
      <vt:lpstr>'82-82-2098'!ileafHeader</vt:lpstr>
      <vt:lpstr>'90-72-9148'!ileafHeader</vt:lpstr>
      <vt:lpstr>'94-74-9410'!ileafHeader</vt:lpstr>
      <vt:lpstr>'98-15'!ileafHeader</vt:lpstr>
      <vt:lpstr>'01-71-0001'!nofColumns</vt:lpstr>
      <vt:lpstr>'01-71-0002'!nofColumns</vt:lpstr>
      <vt:lpstr>'01-71-0003'!nofColumns</vt:lpstr>
      <vt:lpstr>'01-77'!nofColumns</vt:lpstr>
      <vt:lpstr>'06-76'!nofColumns</vt:lpstr>
      <vt:lpstr>'10-49'!nofColumns</vt:lpstr>
      <vt:lpstr>'14-52'!nofColumns</vt:lpstr>
      <vt:lpstr>'16-55'!nofColumns</vt:lpstr>
      <vt:lpstr>'22-41'!nofColumns</vt:lpstr>
      <vt:lpstr>'22-55'!nofColumns</vt:lpstr>
      <vt:lpstr>'22-75'!nofColumns</vt:lpstr>
      <vt:lpstr>'22-76'!nofColumns</vt:lpstr>
      <vt:lpstr>'26-16'!nofColumns</vt:lpstr>
      <vt:lpstr>'26-16-7020'!nofColumns</vt:lpstr>
      <vt:lpstr>'26-16-7025'!nofColumns</vt:lpstr>
      <vt:lpstr>'26-16-7030'!nofColumns</vt:lpstr>
      <vt:lpstr>'26-17'!nofColumns</vt:lpstr>
      <vt:lpstr>'26-19'!nofColumns</vt:lpstr>
      <vt:lpstr>'34-31'!nofColumns</vt:lpstr>
      <vt:lpstr>'34-32'!nofColumns</vt:lpstr>
      <vt:lpstr>'34-33'!nofColumns</vt:lpstr>
      <vt:lpstr>'34-34'!nofColumns</vt:lpstr>
      <vt:lpstr>'34-35'!nofColumns</vt:lpstr>
      <vt:lpstr>'42-42'!nofColumns</vt:lpstr>
      <vt:lpstr>'42-43'!nofColumns</vt:lpstr>
      <vt:lpstr>'42-44'!nofColumns</vt:lpstr>
      <vt:lpstr>'42-45'!nofColumns</vt:lpstr>
      <vt:lpstr>'42-46'!nofColumns</vt:lpstr>
      <vt:lpstr>'42-47'!nofColumns</vt:lpstr>
      <vt:lpstr>'46-21'!nofColumns</vt:lpstr>
      <vt:lpstr>'46-21-4280'!nofColumns</vt:lpstr>
      <vt:lpstr>'46-22'!nofColumns</vt:lpstr>
      <vt:lpstr>'46-23'!nofColumns</vt:lpstr>
      <vt:lpstr>'46-23-4290'!nofColumns</vt:lpstr>
      <vt:lpstr>'46-25'!nofColumns</vt:lpstr>
      <vt:lpstr>'54-24-7540'!nofColumns</vt:lpstr>
      <vt:lpstr>'54-26'!nofColumns</vt:lpstr>
      <vt:lpstr>'54-27-7545'!nofColumns</vt:lpstr>
      <vt:lpstr>'54-32'!nofColumns</vt:lpstr>
      <vt:lpstr>'54-32-7601'!nofColumns</vt:lpstr>
      <vt:lpstr>'54-33-7560'!nofColumns</vt:lpstr>
      <vt:lpstr>'54-53-7550'!nofColumns</vt:lpstr>
      <vt:lpstr>'54-55-7580'!nofColumns</vt:lpstr>
      <vt:lpstr>'54-76-7500'!nofColumns</vt:lpstr>
      <vt:lpstr>'62-51'!nofColumns</vt:lpstr>
      <vt:lpstr>'62-53'!nofColumns</vt:lpstr>
      <vt:lpstr>'62-54'!nofColumns</vt:lpstr>
      <vt:lpstr>'62-74'!nofColumns</vt:lpstr>
      <vt:lpstr>'66-12'!nofColumns</vt:lpstr>
      <vt:lpstr>'66-13'!nofColumns</vt:lpstr>
      <vt:lpstr>'66-18'!nofColumns</vt:lpstr>
      <vt:lpstr>'66-19'!nofColumns</vt:lpstr>
      <vt:lpstr>'66-74'!nofColumns</vt:lpstr>
      <vt:lpstr>'66-82'!nofColumns</vt:lpstr>
      <vt:lpstr>'67-14'!nofColumns</vt:lpstr>
      <vt:lpstr>'67-83-3610'!nofColumns</vt:lpstr>
      <vt:lpstr>'67-83-3630'!nofColumns</vt:lpstr>
      <vt:lpstr>'67-83-3640'!nofColumns</vt:lpstr>
      <vt:lpstr>'67-83-3650'!nofColumns</vt:lpstr>
      <vt:lpstr>'74-36'!nofColumns</vt:lpstr>
      <vt:lpstr>'74-36-2405'!nofColumns</vt:lpstr>
      <vt:lpstr>'74-36-2410'!nofColumns</vt:lpstr>
      <vt:lpstr>'74-36-2415'!nofColumns</vt:lpstr>
      <vt:lpstr>'74-36-2416'!nofColumns</vt:lpstr>
      <vt:lpstr>'74-36-2417'!nofColumns</vt:lpstr>
      <vt:lpstr>'74-36-2430'!nofColumns</vt:lpstr>
      <vt:lpstr>'74-36-2440'!nofColumns</vt:lpstr>
      <vt:lpstr>'74-36-2445'!nofColumns</vt:lpstr>
      <vt:lpstr>'74-36-2450'!nofColumns</vt:lpstr>
      <vt:lpstr>'74-36-2455'!nofColumns</vt:lpstr>
      <vt:lpstr>'74-36-2460'!nofColumns</vt:lpstr>
      <vt:lpstr>'74-36-2465'!nofColumns</vt:lpstr>
      <vt:lpstr>'74-36-2470'!nofColumns</vt:lpstr>
      <vt:lpstr>'74-36-2475'!nofColumns</vt:lpstr>
      <vt:lpstr>'74-36-2480'!nofColumns</vt:lpstr>
      <vt:lpstr>'74-36-2485'!nofColumns</vt:lpstr>
      <vt:lpstr>'74-37'!nofColumns</vt:lpstr>
      <vt:lpstr>'74-37-2541'!nofColumns</vt:lpstr>
      <vt:lpstr>'74-74'!nofColumns</vt:lpstr>
      <vt:lpstr>'78-11'!nofColumns</vt:lpstr>
      <vt:lpstr>'78-61'!nofColumns</vt:lpstr>
      <vt:lpstr>'78-62'!nofColumns</vt:lpstr>
      <vt:lpstr>'78-64'!nofColumns</vt:lpstr>
      <vt:lpstr>'82-52'!nofColumns</vt:lpstr>
      <vt:lpstr>'82-72'!nofColumns</vt:lpstr>
      <vt:lpstr>'82-72-2066'!nofColumns</vt:lpstr>
      <vt:lpstr>'82-73'!nofColumns</vt:lpstr>
      <vt:lpstr>'82-74'!nofColumns</vt:lpstr>
      <vt:lpstr>'82-74-2020'!nofColumns</vt:lpstr>
      <vt:lpstr>'82-74-2026'!nofColumns</vt:lpstr>
      <vt:lpstr>'82-74-2034'!nofColumns</vt:lpstr>
      <vt:lpstr>'82-74-2052'!nofColumns</vt:lpstr>
      <vt:lpstr>'82-74-2056'!nofColumns</vt:lpstr>
      <vt:lpstr>'82-74-2057'!nofColumns</vt:lpstr>
      <vt:lpstr>'82-74-2065'!nofColumns</vt:lpstr>
      <vt:lpstr>'82-75'!nofColumns</vt:lpstr>
      <vt:lpstr>'82-76'!nofColumns</vt:lpstr>
      <vt:lpstr>'82-82'!nofColumns</vt:lpstr>
      <vt:lpstr>'82-82-2096'!nofColumns</vt:lpstr>
      <vt:lpstr>'82-82-2097'!nofColumns</vt:lpstr>
      <vt:lpstr>'82-82-2098'!nofColumns</vt:lpstr>
      <vt:lpstr>'90-72-9148'!nofColumns</vt:lpstr>
      <vt:lpstr>'94-74-9410'!nofColumns</vt:lpstr>
      <vt:lpstr>'98-15'!nofColumns</vt:lpstr>
      <vt:lpstr>'01-71-0001'!Notes</vt:lpstr>
      <vt:lpstr>'01-71-0002'!Notes</vt:lpstr>
      <vt:lpstr>'01-71-0003'!Notes</vt:lpstr>
      <vt:lpstr>'01-77'!Notes</vt:lpstr>
      <vt:lpstr>'06-76'!Notes</vt:lpstr>
      <vt:lpstr>'10-49'!Notes</vt:lpstr>
      <vt:lpstr>'14-52'!Notes</vt:lpstr>
      <vt:lpstr>'16-55'!Notes</vt:lpstr>
      <vt:lpstr>'22-41'!Notes</vt:lpstr>
      <vt:lpstr>'22-55'!Notes</vt:lpstr>
      <vt:lpstr>'22-75'!Notes</vt:lpstr>
      <vt:lpstr>'22-76'!Notes</vt:lpstr>
      <vt:lpstr>'26-16'!Notes</vt:lpstr>
      <vt:lpstr>'26-16-7020'!Notes</vt:lpstr>
      <vt:lpstr>'26-16-7025'!Notes</vt:lpstr>
      <vt:lpstr>'26-16-7030'!Notes</vt:lpstr>
      <vt:lpstr>'26-17'!Notes</vt:lpstr>
      <vt:lpstr>'26-19'!Notes</vt:lpstr>
      <vt:lpstr>'34-31'!Notes</vt:lpstr>
      <vt:lpstr>'34-32'!Notes</vt:lpstr>
      <vt:lpstr>'34-33'!Notes</vt:lpstr>
      <vt:lpstr>'34-34'!Notes</vt:lpstr>
      <vt:lpstr>'34-35'!Notes</vt:lpstr>
      <vt:lpstr>'42-42'!Notes</vt:lpstr>
      <vt:lpstr>'42-43'!Notes</vt:lpstr>
      <vt:lpstr>'42-44'!Notes</vt:lpstr>
      <vt:lpstr>'42-45'!Notes</vt:lpstr>
      <vt:lpstr>'42-46'!Notes</vt:lpstr>
      <vt:lpstr>'42-47'!Notes</vt:lpstr>
      <vt:lpstr>'46-21'!Notes</vt:lpstr>
      <vt:lpstr>'46-21-4280'!Notes</vt:lpstr>
      <vt:lpstr>'46-22'!Notes</vt:lpstr>
      <vt:lpstr>'46-23'!Notes</vt:lpstr>
      <vt:lpstr>'46-23-4290'!Notes</vt:lpstr>
      <vt:lpstr>'46-25'!Notes</vt:lpstr>
      <vt:lpstr>'54-24-7540'!Notes</vt:lpstr>
      <vt:lpstr>'54-26'!Notes</vt:lpstr>
      <vt:lpstr>'54-27-7545'!Notes</vt:lpstr>
      <vt:lpstr>'54-32'!Notes</vt:lpstr>
      <vt:lpstr>'54-32-7601'!Notes</vt:lpstr>
      <vt:lpstr>'54-33-7560'!Notes</vt:lpstr>
      <vt:lpstr>'54-53-7550'!Notes</vt:lpstr>
      <vt:lpstr>'54-55-7580'!Notes</vt:lpstr>
      <vt:lpstr>'54-76-7500'!Notes</vt:lpstr>
      <vt:lpstr>'62-51'!Notes</vt:lpstr>
      <vt:lpstr>'62-53'!Notes</vt:lpstr>
      <vt:lpstr>'62-54'!Notes</vt:lpstr>
      <vt:lpstr>'62-74'!Notes</vt:lpstr>
      <vt:lpstr>'66-12'!Notes</vt:lpstr>
      <vt:lpstr>'66-13'!Notes</vt:lpstr>
      <vt:lpstr>'66-18'!Notes</vt:lpstr>
      <vt:lpstr>'66-19'!Notes</vt:lpstr>
      <vt:lpstr>'66-74'!Notes</vt:lpstr>
      <vt:lpstr>'66-82'!Notes</vt:lpstr>
      <vt:lpstr>'67-14'!Notes</vt:lpstr>
      <vt:lpstr>'67-83-3610'!Notes</vt:lpstr>
      <vt:lpstr>'67-83-3630'!Notes</vt:lpstr>
      <vt:lpstr>'67-83-3640'!Notes</vt:lpstr>
      <vt:lpstr>'67-83-3650'!Notes</vt:lpstr>
      <vt:lpstr>'74-36'!Notes</vt:lpstr>
      <vt:lpstr>'74-36-2405'!Notes</vt:lpstr>
      <vt:lpstr>'74-36-2410'!Notes</vt:lpstr>
      <vt:lpstr>'74-36-2415'!Notes</vt:lpstr>
      <vt:lpstr>'74-36-2416'!Notes</vt:lpstr>
      <vt:lpstr>'74-36-2417'!Notes</vt:lpstr>
      <vt:lpstr>'74-36-2430'!Notes</vt:lpstr>
      <vt:lpstr>'74-36-2440'!Notes</vt:lpstr>
      <vt:lpstr>'74-36-2445'!Notes</vt:lpstr>
      <vt:lpstr>'74-36-2450'!Notes</vt:lpstr>
      <vt:lpstr>'74-36-2455'!Notes</vt:lpstr>
      <vt:lpstr>'74-36-2460'!Notes</vt:lpstr>
      <vt:lpstr>'74-36-2465'!Notes</vt:lpstr>
      <vt:lpstr>'74-36-2470'!Notes</vt:lpstr>
      <vt:lpstr>'74-36-2475'!Notes</vt:lpstr>
      <vt:lpstr>'74-36-2480'!Notes</vt:lpstr>
      <vt:lpstr>'74-36-2485'!Notes</vt:lpstr>
      <vt:lpstr>'74-37'!Notes</vt:lpstr>
      <vt:lpstr>'74-37-2541'!Notes</vt:lpstr>
      <vt:lpstr>'74-74'!Notes</vt:lpstr>
      <vt:lpstr>'78-11'!Notes</vt:lpstr>
      <vt:lpstr>'78-61'!Notes</vt:lpstr>
      <vt:lpstr>'78-62'!Notes</vt:lpstr>
      <vt:lpstr>'78-64'!Notes</vt:lpstr>
      <vt:lpstr>'82-52'!Notes</vt:lpstr>
      <vt:lpstr>'82-72'!Notes</vt:lpstr>
      <vt:lpstr>'82-72-2066'!Notes</vt:lpstr>
      <vt:lpstr>'82-73'!Notes</vt:lpstr>
      <vt:lpstr>'82-74'!Notes</vt:lpstr>
      <vt:lpstr>'82-74-2020'!Notes</vt:lpstr>
      <vt:lpstr>'82-74-2026'!Notes</vt:lpstr>
      <vt:lpstr>'82-74-2034'!Notes</vt:lpstr>
      <vt:lpstr>'82-74-2052'!Notes</vt:lpstr>
      <vt:lpstr>'82-74-2056'!Notes</vt:lpstr>
      <vt:lpstr>'82-74-2057'!Notes</vt:lpstr>
      <vt:lpstr>'82-74-2065'!Notes</vt:lpstr>
      <vt:lpstr>'82-75'!Notes</vt:lpstr>
      <vt:lpstr>'82-76'!Notes</vt:lpstr>
      <vt:lpstr>'82-82'!Notes</vt:lpstr>
      <vt:lpstr>'82-82-2096'!Notes</vt:lpstr>
      <vt:lpstr>'82-82-2097'!Notes</vt:lpstr>
      <vt:lpstr>'82-82-2098'!Notes</vt:lpstr>
      <vt:lpstr>'90-72-9148'!Notes</vt:lpstr>
      <vt:lpstr>'94-74-9410'!Notes</vt:lpstr>
      <vt:lpstr>'98-15'!Notes</vt:lpstr>
      <vt:lpstr>'01-71-0001'!Outyear1</vt:lpstr>
      <vt:lpstr>'01-71-0002'!Outyear1</vt:lpstr>
      <vt:lpstr>'01-71-0003'!Outyear1</vt:lpstr>
      <vt:lpstr>'01-77'!Outyear1</vt:lpstr>
      <vt:lpstr>'06-76'!Outyear1</vt:lpstr>
      <vt:lpstr>'10-49'!Outyear1</vt:lpstr>
      <vt:lpstr>'14-52'!Outyear1</vt:lpstr>
      <vt:lpstr>'16-55'!Outyear1</vt:lpstr>
      <vt:lpstr>'22-41'!Outyear1</vt:lpstr>
      <vt:lpstr>'22-55'!Outyear1</vt:lpstr>
      <vt:lpstr>'22-75'!Outyear1</vt:lpstr>
      <vt:lpstr>'22-76'!Outyear1</vt:lpstr>
      <vt:lpstr>'26-16'!Outyear1</vt:lpstr>
      <vt:lpstr>'26-16-7020'!Outyear1</vt:lpstr>
      <vt:lpstr>'26-16-7025'!Outyear1</vt:lpstr>
      <vt:lpstr>'26-16-7030'!Outyear1</vt:lpstr>
      <vt:lpstr>'26-17'!Outyear1</vt:lpstr>
      <vt:lpstr>'26-19'!Outyear1</vt:lpstr>
      <vt:lpstr>'34-31'!Outyear1</vt:lpstr>
      <vt:lpstr>'34-32'!Outyear1</vt:lpstr>
      <vt:lpstr>'34-33'!Outyear1</vt:lpstr>
      <vt:lpstr>'34-34'!Outyear1</vt:lpstr>
      <vt:lpstr>'34-35'!Outyear1</vt:lpstr>
      <vt:lpstr>'42-42'!Outyear1</vt:lpstr>
      <vt:lpstr>'42-43'!Outyear1</vt:lpstr>
      <vt:lpstr>'42-44'!Outyear1</vt:lpstr>
      <vt:lpstr>'42-45'!Outyear1</vt:lpstr>
      <vt:lpstr>'42-46'!Outyear1</vt:lpstr>
      <vt:lpstr>'42-47'!Outyear1</vt:lpstr>
      <vt:lpstr>'46-21'!Outyear1</vt:lpstr>
      <vt:lpstr>'46-21-4280'!Outyear1</vt:lpstr>
      <vt:lpstr>'46-22'!Outyear1</vt:lpstr>
      <vt:lpstr>'46-23'!Outyear1</vt:lpstr>
      <vt:lpstr>'46-23-4290'!Outyear1</vt:lpstr>
      <vt:lpstr>'46-25'!Outyear1</vt:lpstr>
      <vt:lpstr>'54-24-7540'!Outyear1</vt:lpstr>
      <vt:lpstr>'54-26'!Outyear1</vt:lpstr>
      <vt:lpstr>'54-27-7545'!Outyear1</vt:lpstr>
      <vt:lpstr>'54-32'!Outyear1</vt:lpstr>
      <vt:lpstr>'54-32-7601'!Outyear1</vt:lpstr>
      <vt:lpstr>'54-33-7560'!Outyear1</vt:lpstr>
      <vt:lpstr>'54-53-7550'!Outyear1</vt:lpstr>
      <vt:lpstr>'54-55-7580'!Outyear1</vt:lpstr>
      <vt:lpstr>'54-76-7500'!Outyear1</vt:lpstr>
      <vt:lpstr>'62-51'!Outyear1</vt:lpstr>
      <vt:lpstr>'62-53'!Outyear1</vt:lpstr>
      <vt:lpstr>'62-54'!Outyear1</vt:lpstr>
      <vt:lpstr>'62-74'!Outyear1</vt:lpstr>
      <vt:lpstr>'66-12'!Outyear1</vt:lpstr>
      <vt:lpstr>'66-13'!Outyear1</vt:lpstr>
      <vt:lpstr>'66-18'!Outyear1</vt:lpstr>
      <vt:lpstr>'66-19'!Outyear1</vt:lpstr>
      <vt:lpstr>'66-74'!Outyear1</vt:lpstr>
      <vt:lpstr>'66-82'!Outyear1</vt:lpstr>
      <vt:lpstr>'67-14'!Outyear1</vt:lpstr>
      <vt:lpstr>'67-83-3610'!Outyear1</vt:lpstr>
      <vt:lpstr>'67-83-3630'!Outyear1</vt:lpstr>
      <vt:lpstr>'67-83-3640'!Outyear1</vt:lpstr>
      <vt:lpstr>'67-83-3650'!Outyear1</vt:lpstr>
      <vt:lpstr>'74-36'!Outyear1</vt:lpstr>
      <vt:lpstr>'74-36-2405'!Outyear1</vt:lpstr>
      <vt:lpstr>'74-36-2410'!Outyear1</vt:lpstr>
      <vt:lpstr>'74-36-2415'!Outyear1</vt:lpstr>
      <vt:lpstr>'74-36-2416'!Outyear1</vt:lpstr>
      <vt:lpstr>'74-36-2417'!Outyear1</vt:lpstr>
      <vt:lpstr>'74-36-2430'!Outyear1</vt:lpstr>
      <vt:lpstr>'74-36-2440'!Outyear1</vt:lpstr>
      <vt:lpstr>'74-36-2445'!Outyear1</vt:lpstr>
      <vt:lpstr>'74-36-2450'!Outyear1</vt:lpstr>
      <vt:lpstr>'74-36-2455'!Outyear1</vt:lpstr>
      <vt:lpstr>'74-36-2460'!Outyear1</vt:lpstr>
      <vt:lpstr>'74-36-2465'!Outyear1</vt:lpstr>
      <vt:lpstr>'74-36-2470'!Outyear1</vt:lpstr>
      <vt:lpstr>'74-36-2475'!Outyear1</vt:lpstr>
      <vt:lpstr>'74-36-2480'!Outyear1</vt:lpstr>
      <vt:lpstr>'74-36-2485'!Outyear1</vt:lpstr>
      <vt:lpstr>'74-37'!Outyear1</vt:lpstr>
      <vt:lpstr>'74-37-2541'!Outyear1</vt:lpstr>
      <vt:lpstr>'74-74'!Outyear1</vt:lpstr>
      <vt:lpstr>'78-11'!Outyear1</vt:lpstr>
      <vt:lpstr>'78-61'!Outyear1</vt:lpstr>
      <vt:lpstr>'78-62'!Outyear1</vt:lpstr>
      <vt:lpstr>'78-64'!Outyear1</vt:lpstr>
      <vt:lpstr>'82-52'!Outyear1</vt:lpstr>
      <vt:lpstr>'82-72'!Outyear1</vt:lpstr>
      <vt:lpstr>'82-72-2066'!Outyear1</vt:lpstr>
      <vt:lpstr>'82-73'!Outyear1</vt:lpstr>
      <vt:lpstr>'82-74'!Outyear1</vt:lpstr>
      <vt:lpstr>'82-74-2020'!Outyear1</vt:lpstr>
      <vt:lpstr>'82-74-2026'!Outyear1</vt:lpstr>
      <vt:lpstr>'82-74-2034'!Outyear1</vt:lpstr>
      <vt:lpstr>'82-74-2052'!Outyear1</vt:lpstr>
      <vt:lpstr>'82-74-2056'!Outyear1</vt:lpstr>
      <vt:lpstr>'82-74-2057'!Outyear1</vt:lpstr>
      <vt:lpstr>'82-74-2065'!Outyear1</vt:lpstr>
      <vt:lpstr>'82-75'!Outyear1</vt:lpstr>
      <vt:lpstr>'82-76'!Outyear1</vt:lpstr>
      <vt:lpstr>'82-82'!Outyear1</vt:lpstr>
      <vt:lpstr>'82-82-2096'!Outyear1</vt:lpstr>
      <vt:lpstr>'82-82-2097'!Outyear1</vt:lpstr>
      <vt:lpstr>'82-82-2098'!Outyear1</vt:lpstr>
      <vt:lpstr>'90-72-9148'!Outyear1</vt:lpstr>
      <vt:lpstr>'94-74-9410'!Outyear1</vt:lpstr>
      <vt:lpstr>'98-15'!Outyear1</vt:lpstr>
      <vt:lpstr>'14-52'!Print_Area</vt:lpstr>
      <vt:lpstr>'16-55'!Print_Area</vt:lpstr>
      <vt:lpstr>'22-75'!Print_Area</vt:lpstr>
      <vt:lpstr>'26-16'!Print_Area</vt:lpstr>
      <vt:lpstr>'26-17'!Print_Area</vt:lpstr>
      <vt:lpstr>'42-42'!Print_Area</vt:lpstr>
      <vt:lpstr>'42-44'!Print_Area</vt:lpstr>
      <vt:lpstr>'46-21'!Print_Area</vt:lpstr>
      <vt:lpstr>'46-22'!Print_Area</vt:lpstr>
      <vt:lpstr>'54-24-7540'!Print_Area</vt:lpstr>
      <vt:lpstr>'54-26'!Print_Area</vt:lpstr>
      <vt:lpstr>'54-32-7601'!Print_Area</vt:lpstr>
      <vt:lpstr>'62-53'!Print_Area</vt:lpstr>
      <vt:lpstr>'62-54'!Print_Area</vt:lpstr>
      <vt:lpstr>'74-36'!Print_Area</vt:lpstr>
      <vt:lpstr>'74-36-2405'!Print_Area</vt:lpstr>
      <vt:lpstr>'74-36-2410'!Print_Area</vt:lpstr>
      <vt:lpstr>'74-36-2415'!Print_Area</vt:lpstr>
      <vt:lpstr>'74-36-2416'!Print_Area</vt:lpstr>
      <vt:lpstr>'74-36-2417'!Print_Area</vt:lpstr>
      <vt:lpstr>'74-36-2430'!Print_Area</vt:lpstr>
      <vt:lpstr>'74-36-2440'!Print_Area</vt:lpstr>
      <vt:lpstr>'74-36-2450'!Print_Area</vt:lpstr>
      <vt:lpstr>'74-36-2460'!Print_Area</vt:lpstr>
      <vt:lpstr>'74-36-2465'!Print_Area</vt:lpstr>
      <vt:lpstr>'74-36-2470'!Print_Area</vt:lpstr>
      <vt:lpstr>'74-37'!Print_Area</vt:lpstr>
      <vt:lpstr>'74-37-2541'!Print_Area</vt:lpstr>
      <vt:lpstr>'74-74'!Print_Area</vt:lpstr>
      <vt:lpstr>'82-72'!Print_Area</vt:lpstr>
      <vt:lpstr>'82-72-2066'!Print_Area</vt:lpstr>
      <vt:lpstr>'82-73'!Print_Area</vt:lpstr>
      <vt:lpstr>'82-74-2052'!Print_Area</vt:lpstr>
      <vt:lpstr>'82-82'!Print_Area</vt:lpstr>
      <vt:lpstr>'94-74-9410'!Print_Area</vt:lpstr>
      <vt:lpstr>'46-21'!Print_Titles</vt:lpstr>
      <vt:lpstr>'54-26'!Print_Titles</vt:lpstr>
      <vt:lpstr>'62-53'!Print_Titles</vt:lpstr>
      <vt:lpstr>'62-54'!Print_Titles</vt:lpstr>
      <vt:lpstr>'74-36-2460'!Print_Titles</vt:lpstr>
      <vt:lpstr>'74-36-2465'!Print_Titles</vt:lpstr>
      <vt:lpstr>'74-36-2470'!Print_Titles</vt:lpstr>
      <vt:lpstr>'82-73'!Print_Titles</vt:lpstr>
      <vt:lpstr>'82-74'!Print_Titles</vt:lpstr>
      <vt:lpstr>'82-76'!Print_Titles</vt:lpstr>
      <vt:lpstr>'01-71-0001'!RevisedFy_1</vt:lpstr>
      <vt:lpstr>'01-71-0002'!RevisedFy_1</vt:lpstr>
      <vt:lpstr>'01-71-0003'!RevisedFy_1</vt:lpstr>
      <vt:lpstr>'01-77'!RevisedFy_1</vt:lpstr>
      <vt:lpstr>'06-76'!RevisedFy_1</vt:lpstr>
      <vt:lpstr>'10-49'!RevisedFy_1</vt:lpstr>
      <vt:lpstr>'14-52'!RevisedFy_1</vt:lpstr>
      <vt:lpstr>'16-55'!RevisedFy_1</vt:lpstr>
      <vt:lpstr>'22-41'!RevisedFy_1</vt:lpstr>
      <vt:lpstr>'22-55'!RevisedFy_1</vt:lpstr>
      <vt:lpstr>'22-75'!RevisedFy_1</vt:lpstr>
      <vt:lpstr>'22-76'!RevisedFy_1</vt:lpstr>
      <vt:lpstr>'26-16'!RevisedFy_1</vt:lpstr>
      <vt:lpstr>'26-16-7020'!RevisedFy_1</vt:lpstr>
      <vt:lpstr>'26-16-7025'!RevisedFy_1</vt:lpstr>
      <vt:lpstr>'26-16-7030'!RevisedFy_1</vt:lpstr>
      <vt:lpstr>'26-17'!RevisedFy_1</vt:lpstr>
      <vt:lpstr>'26-19'!RevisedFy_1</vt:lpstr>
      <vt:lpstr>'34-31'!RevisedFy_1</vt:lpstr>
      <vt:lpstr>'34-32'!RevisedFy_1</vt:lpstr>
      <vt:lpstr>'34-33'!RevisedFy_1</vt:lpstr>
      <vt:lpstr>'34-34'!RevisedFy_1</vt:lpstr>
      <vt:lpstr>'34-35'!RevisedFy_1</vt:lpstr>
      <vt:lpstr>'42-42'!RevisedFy_1</vt:lpstr>
      <vt:lpstr>'42-43'!RevisedFy_1</vt:lpstr>
      <vt:lpstr>'42-44'!RevisedFy_1</vt:lpstr>
      <vt:lpstr>'42-45'!RevisedFy_1</vt:lpstr>
      <vt:lpstr>'42-46'!RevisedFy_1</vt:lpstr>
      <vt:lpstr>'42-47'!RevisedFy_1</vt:lpstr>
      <vt:lpstr>'46-21'!RevisedFy_1</vt:lpstr>
      <vt:lpstr>'46-21-4280'!RevisedFy_1</vt:lpstr>
      <vt:lpstr>'46-22'!RevisedFy_1</vt:lpstr>
      <vt:lpstr>'46-23'!RevisedFy_1</vt:lpstr>
      <vt:lpstr>'46-23-4290'!RevisedFy_1</vt:lpstr>
      <vt:lpstr>'46-25'!RevisedFy_1</vt:lpstr>
      <vt:lpstr>'54-24-7540'!RevisedFy_1</vt:lpstr>
      <vt:lpstr>'54-26'!RevisedFy_1</vt:lpstr>
      <vt:lpstr>'54-27-7545'!RevisedFy_1</vt:lpstr>
      <vt:lpstr>'54-32'!RevisedFy_1</vt:lpstr>
      <vt:lpstr>'54-32-7601'!RevisedFy_1</vt:lpstr>
      <vt:lpstr>'54-33-7560'!RevisedFy_1</vt:lpstr>
      <vt:lpstr>'54-53-7550'!RevisedFy_1</vt:lpstr>
      <vt:lpstr>'54-55-7580'!RevisedFy_1</vt:lpstr>
      <vt:lpstr>'54-76-7500'!RevisedFy_1</vt:lpstr>
      <vt:lpstr>'62-51'!RevisedFy_1</vt:lpstr>
      <vt:lpstr>'62-53'!RevisedFy_1</vt:lpstr>
      <vt:lpstr>'62-54'!RevisedFy_1</vt:lpstr>
      <vt:lpstr>'62-74'!RevisedFy_1</vt:lpstr>
      <vt:lpstr>'66-12'!RevisedFy_1</vt:lpstr>
      <vt:lpstr>'66-13'!RevisedFy_1</vt:lpstr>
      <vt:lpstr>'66-18'!RevisedFy_1</vt:lpstr>
      <vt:lpstr>'66-19'!RevisedFy_1</vt:lpstr>
      <vt:lpstr>'66-74'!RevisedFy_1</vt:lpstr>
      <vt:lpstr>'66-82'!RevisedFy_1</vt:lpstr>
      <vt:lpstr>'67-14'!RevisedFy_1</vt:lpstr>
      <vt:lpstr>'67-83-3610'!RevisedFy_1</vt:lpstr>
      <vt:lpstr>'67-83-3630'!RevisedFy_1</vt:lpstr>
      <vt:lpstr>'67-83-3640'!RevisedFy_1</vt:lpstr>
      <vt:lpstr>'67-83-3650'!RevisedFy_1</vt:lpstr>
      <vt:lpstr>'74-36'!RevisedFy_1</vt:lpstr>
      <vt:lpstr>'74-36-2405'!RevisedFy_1</vt:lpstr>
      <vt:lpstr>'74-36-2410'!RevisedFy_1</vt:lpstr>
      <vt:lpstr>'74-36-2415'!RevisedFy_1</vt:lpstr>
      <vt:lpstr>'74-36-2416'!RevisedFy_1</vt:lpstr>
      <vt:lpstr>'74-36-2417'!RevisedFy_1</vt:lpstr>
      <vt:lpstr>'74-36-2430'!RevisedFy_1</vt:lpstr>
      <vt:lpstr>'74-36-2440'!RevisedFy_1</vt:lpstr>
      <vt:lpstr>'74-36-2445'!RevisedFy_1</vt:lpstr>
      <vt:lpstr>'74-36-2450'!RevisedFy_1</vt:lpstr>
      <vt:lpstr>'74-36-2455'!RevisedFy_1</vt:lpstr>
      <vt:lpstr>'74-36-2460'!RevisedFy_1</vt:lpstr>
      <vt:lpstr>'74-36-2465'!RevisedFy_1</vt:lpstr>
      <vt:lpstr>'74-36-2470'!RevisedFy_1</vt:lpstr>
      <vt:lpstr>'74-36-2475'!RevisedFy_1</vt:lpstr>
      <vt:lpstr>'74-36-2480'!RevisedFy_1</vt:lpstr>
      <vt:lpstr>'74-36-2485'!RevisedFy_1</vt:lpstr>
      <vt:lpstr>'74-37'!RevisedFy_1</vt:lpstr>
      <vt:lpstr>'74-37-2541'!RevisedFy_1</vt:lpstr>
      <vt:lpstr>'74-74'!RevisedFy_1</vt:lpstr>
      <vt:lpstr>'78-11'!RevisedFy_1</vt:lpstr>
      <vt:lpstr>'78-61'!RevisedFy_1</vt:lpstr>
      <vt:lpstr>'78-62'!RevisedFy_1</vt:lpstr>
      <vt:lpstr>'78-64'!RevisedFy_1</vt:lpstr>
      <vt:lpstr>'82-52'!RevisedFy_1</vt:lpstr>
      <vt:lpstr>'82-72'!RevisedFy_1</vt:lpstr>
      <vt:lpstr>'82-72-2066'!RevisedFy_1</vt:lpstr>
      <vt:lpstr>'82-73'!RevisedFy_1</vt:lpstr>
      <vt:lpstr>'82-74'!RevisedFy_1</vt:lpstr>
      <vt:lpstr>'82-74-2020'!RevisedFy_1</vt:lpstr>
      <vt:lpstr>'82-74-2026'!RevisedFy_1</vt:lpstr>
      <vt:lpstr>'82-74-2034'!RevisedFy_1</vt:lpstr>
      <vt:lpstr>'82-74-2052'!RevisedFy_1</vt:lpstr>
      <vt:lpstr>'82-74-2056'!RevisedFy_1</vt:lpstr>
      <vt:lpstr>'82-74-2057'!RevisedFy_1</vt:lpstr>
      <vt:lpstr>'82-74-2065'!RevisedFy_1</vt:lpstr>
      <vt:lpstr>'82-75'!RevisedFy_1</vt:lpstr>
      <vt:lpstr>'82-76'!RevisedFy_1</vt:lpstr>
      <vt:lpstr>'82-82'!RevisedFy_1</vt:lpstr>
      <vt:lpstr>'82-82-2096'!RevisedFy_1</vt:lpstr>
      <vt:lpstr>'82-82-2097'!RevisedFy_1</vt:lpstr>
      <vt:lpstr>'82-82-2098'!RevisedFy_1</vt:lpstr>
      <vt:lpstr>'90-72-9148'!RevisedFy_1</vt:lpstr>
      <vt:lpstr>'94-74-9410'!RevisedFy_1</vt:lpstr>
      <vt:lpstr>'98-15'!RevisedFy_1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 Governor's Recommended Budget</dc:title>
  <dc:subject>Evaluation Data</dc:subject>
  <dc:creator>Treasury, Office of Management and Budget</dc:creator>
  <cp:lastModifiedBy>David Meek</cp:lastModifiedBy>
  <dcterms:created xsi:type="dcterms:W3CDTF">2006-09-16T00:00:00Z</dcterms:created>
  <dcterms:modified xsi:type="dcterms:W3CDTF">2018-04-05T14:59:14Z</dcterms:modified>
</cp:coreProperties>
</file>