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31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embeddings/oleObject30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645" windowHeight="9555" activeTab="2"/>
  </bookViews>
  <sheets>
    <sheet name="SS_CSC - deck slab, steel grid" sheetId="1" r:id="rId1"/>
    <sheet name="RC - Tee" sheetId="9" r:id="rId2"/>
    <sheet name="PSC_CPC - Tee, I, Bulb-Tee" sheetId="8" r:id="rId3"/>
    <sheet name="PSC - Box" sheetId="10" r:id="rId4"/>
  </sheets>
  <calcPr calcId="125725"/>
</workbook>
</file>

<file path=xl/calcChain.xml><?xml version="1.0" encoding="utf-8"?>
<calcChain xmlns="http://schemas.openxmlformats.org/spreadsheetml/2006/main">
  <c r="C45" i="9"/>
  <c r="B35"/>
  <c r="F66" i="10"/>
  <c r="F65"/>
  <c r="F58"/>
  <c r="F57"/>
  <c r="B41" i="9"/>
  <c r="G63" i="10"/>
  <c r="E63"/>
  <c r="D63"/>
  <c r="G62"/>
  <c r="F62"/>
  <c r="E62"/>
  <c r="D62"/>
  <c r="C62"/>
  <c r="G55"/>
  <c r="F55"/>
  <c r="D55"/>
  <c r="C55"/>
  <c r="G54"/>
  <c r="E54"/>
  <c r="F54"/>
  <c r="D54"/>
  <c r="C54"/>
  <c r="C50"/>
  <c r="C49"/>
  <c r="C48"/>
  <c r="D65"/>
  <c r="D66"/>
  <c r="D58"/>
  <c r="D57"/>
  <c r="F62" i="9"/>
  <c r="D61"/>
  <c r="F59"/>
  <c r="D59"/>
  <c r="E58"/>
  <c r="D58"/>
  <c r="F54"/>
  <c r="D53"/>
  <c r="E51"/>
  <c r="D51"/>
  <c r="E50"/>
  <c r="D50"/>
  <c r="C46"/>
  <c r="F51" s="1"/>
  <c r="F62" i="8"/>
  <c r="D61"/>
  <c r="E59"/>
  <c r="D59"/>
  <c r="F58"/>
  <c r="F61" s="1"/>
  <c r="E58"/>
  <c r="D58"/>
  <c r="F54"/>
  <c r="D53"/>
  <c r="E51"/>
  <c r="D51"/>
  <c r="E50"/>
  <c r="D50"/>
  <c r="C45"/>
  <c r="C46" s="1"/>
  <c r="F50" s="1"/>
  <c r="F62" i="1"/>
  <c r="F54"/>
  <c r="F58" i="9" l="1"/>
  <c r="G50" i="8"/>
  <c r="F53" s="1"/>
  <c r="F59"/>
  <c r="F61" i="9"/>
  <c r="F50"/>
  <c r="G50" s="1"/>
  <c r="F53" s="1"/>
  <c r="G51"/>
  <c r="F51" i="8"/>
  <c r="G51" s="1"/>
  <c r="D51" i="1"/>
  <c r="E51"/>
  <c r="D50"/>
  <c r="E50"/>
  <c r="D61"/>
  <c r="F59"/>
  <c r="D59"/>
  <c r="E58"/>
  <c r="D58"/>
  <c r="D53"/>
  <c r="C45"/>
  <c r="C46" s="1"/>
  <c r="F58" l="1"/>
  <c r="F61" s="1"/>
  <c r="F50"/>
  <c r="G50" s="1"/>
  <c r="F53" s="1"/>
  <c r="F51"/>
  <c r="G51" s="1"/>
</calcChain>
</file>

<file path=xl/sharedStrings.xml><?xml version="1.0" encoding="utf-8"?>
<sst xmlns="http://schemas.openxmlformats.org/spreadsheetml/2006/main" count="333" uniqueCount="88">
  <si>
    <t>n</t>
  </si>
  <si>
    <t>I</t>
  </si>
  <si>
    <t>in^4</t>
  </si>
  <si>
    <t>MOI of steel girder and cover plate only</t>
  </si>
  <si>
    <t>d</t>
  </si>
  <si>
    <t>depth of girder plus cover plate</t>
  </si>
  <si>
    <t>ct =dist to top of steel from NA</t>
  </si>
  <si>
    <t>based on steel section only</t>
  </si>
  <si>
    <t>A</t>
  </si>
  <si>
    <t>in^2</t>
  </si>
  <si>
    <t>area of steel girder plus cover plate</t>
  </si>
  <si>
    <t>ts</t>
  </si>
  <si>
    <t>in</t>
  </si>
  <si>
    <t>Slab thickness</t>
  </si>
  <si>
    <t>th</t>
  </si>
  <si>
    <t>haunch thickness</t>
  </si>
  <si>
    <t>L</t>
  </si>
  <si>
    <t>ft</t>
  </si>
  <si>
    <t>member length</t>
  </si>
  <si>
    <t>S</t>
  </si>
  <si>
    <t>member spacing</t>
  </si>
  <si>
    <t>de (fascia) web to edge trav way)</t>
  </si>
  <si>
    <t>eg</t>
  </si>
  <si>
    <t>K</t>
  </si>
  <si>
    <t>MOMENT</t>
  </si>
  <si>
    <t>Interior</t>
  </si>
  <si>
    <t>g</t>
  </si>
  <si>
    <t>entered into LARS Bridge</t>
  </si>
  <si>
    <t>single lane</t>
  </si>
  <si>
    <t>Exterior</t>
  </si>
  <si>
    <t>.77 + de/9.1</t>
  </si>
  <si>
    <t>lever rule</t>
  </si>
  <si>
    <t>SHEAR</t>
  </si>
  <si>
    <t>.60 + de/10</t>
  </si>
  <si>
    <t>Structure I.D.</t>
  </si>
  <si>
    <t>CP</t>
  </si>
  <si>
    <t>LRFD LLDF - SS/CSC</t>
  </si>
  <si>
    <t>Formula - multi lane</t>
  </si>
  <si>
    <t>Formula - single lane</t>
  </si>
  <si>
    <t>3.5 ≤ S ≤ 16.0
4.5 ≤ ts ≤ 12.0
20 ≤ L ≤ 240
Nb ≥ 4
10,000 ≤ Kg ≤ 7,000,000</t>
  </si>
  <si>
    <t>Limitation</t>
  </si>
  <si>
    <t>Beam Type:</t>
  </si>
  <si>
    <t>Deck Type :</t>
  </si>
  <si>
    <t>I-beam</t>
  </si>
  <si>
    <t>CIP slab, precast slab, steel grid</t>
  </si>
  <si>
    <t>Moment Interior</t>
  </si>
  <si>
    <t>`</t>
  </si>
  <si>
    <t>Moment Exterior</t>
  </si>
  <si>
    <t>Shear Exterior</t>
  </si>
  <si>
    <t>Shear Interior</t>
  </si>
  <si>
    <t>multi lane</t>
  </si>
  <si>
    <t>LRFD LLDF - RC</t>
  </si>
  <si>
    <t>Tee</t>
  </si>
  <si>
    <t>n/a</t>
  </si>
  <si>
    <t>LRFD LLDF - PSC/CPS</t>
  </si>
  <si>
    <t>Void or Solid box</t>
  </si>
  <si>
    <t>CIP</t>
  </si>
  <si>
    <t>MOI of Tee</t>
  </si>
  <si>
    <t>depth of Tee</t>
  </si>
  <si>
    <t>area of Tee</t>
  </si>
  <si>
    <t>top flange thickness</t>
  </si>
  <si>
    <t>Number of beams</t>
  </si>
  <si>
    <t>k</t>
  </si>
  <si>
    <t>MBE A9</t>
  </si>
  <si>
    <t>MOI of  prestressed concrete only</t>
  </si>
  <si>
    <t>depth of box</t>
  </si>
  <si>
    <t>b</t>
  </si>
  <si>
    <t>width of box</t>
  </si>
  <si>
    <t>void height</t>
  </si>
  <si>
    <t>void depth</t>
  </si>
  <si>
    <t>bottom wall thickness</t>
  </si>
  <si>
    <t>top wall thick</t>
  </si>
  <si>
    <t>side wall thickness</t>
  </si>
  <si>
    <t>moment exterior</t>
  </si>
  <si>
    <t>shear exterior</t>
  </si>
  <si>
    <t>multi-lane</t>
  </si>
  <si>
    <t>e</t>
  </si>
  <si>
    <r>
      <t>A</t>
    </r>
    <r>
      <rPr>
        <vertAlign val="subscript"/>
        <sz val="11"/>
        <color theme="1"/>
        <rFont val="Calibri"/>
        <family val="2"/>
        <scheme val="minor"/>
      </rPr>
      <t>0</t>
    </r>
  </si>
  <si>
    <t>J</t>
  </si>
  <si>
    <t>1.04+ de/25</t>
  </si>
  <si>
    <t>1.125+ de/30</t>
  </si>
  <si>
    <t>MBE A3</t>
  </si>
  <si>
    <t>ct =dist to top of beam from NA</t>
  </si>
  <si>
    <t>MBE A2</t>
  </si>
  <si>
    <t>1.25+ de/20</t>
  </si>
  <si>
    <t>b'</t>
  </si>
  <si>
    <t>stem width</t>
  </si>
  <si>
    <t>MBE A1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</si>
</sst>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_)"/>
    <numFmt numFmtId="166" formatCode="0.0000"/>
    <numFmt numFmtId="167" formatCode="0.0"/>
  </numFmts>
  <fonts count="9">
    <font>
      <sz val="11"/>
      <color theme="1"/>
      <name val="Calibri"/>
      <family val="2"/>
      <scheme val="minor"/>
    </font>
    <font>
      <sz val="12"/>
      <name val="Arial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/>
    <xf numFmtId="165" fontId="2" fillId="0" borderId="0"/>
  </cellStyleXfs>
  <cellXfs count="65">
    <xf numFmtId="0" fontId="0" fillId="0" borderId="0" xfId="0"/>
    <xf numFmtId="0" fontId="3" fillId="0" borderId="0" xfId="0" applyFont="1"/>
    <xf numFmtId="0" fontId="3" fillId="2" borderId="0" xfId="0" applyFont="1" applyFill="1"/>
    <xf numFmtId="0" fontId="4" fillId="3" borderId="0" xfId="0" applyFont="1" applyFill="1"/>
    <xf numFmtId="0" fontId="0" fillId="0" borderId="0" xfId="0" applyAlignment="1">
      <alignment horizontal="right"/>
    </xf>
    <xf numFmtId="164" fontId="0" fillId="0" borderId="1" xfId="0" applyNumberFormat="1" applyBorder="1"/>
    <xf numFmtId="164" fontId="0" fillId="0" borderId="0" xfId="0" applyNumberFormat="1" applyBorder="1"/>
    <xf numFmtId="0" fontId="0" fillId="4" borderId="0" xfId="0" applyFill="1"/>
    <xf numFmtId="164" fontId="0" fillId="5" borderId="1" xfId="0" applyNumberFormat="1" applyFill="1" applyBorder="1"/>
    <xf numFmtId="164" fontId="0" fillId="6" borderId="1" xfId="0" applyNumberFormat="1" applyFill="1" applyBorder="1"/>
    <xf numFmtId="165" fontId="5" fillId="0" borderId="0" xfId="1" applyFont="1" applyAlignment="1">
      <alignment horizontal="right"/>
    </xf>
    <xf numFmtId="165" fontId="5" fillId="0" borderId="0" xfId="1" applyFont="1"/>
    <xf numFmtId="0" fontId="0" fillId="7" borderId="0" xfId="0" applyFill="1"/>
    <xf numFmtId="0" fontId="6" fillId="0" borderId="0" xfId="0" applyFont="1"/>
    <xf numFmtId="0" fontId="0" fillId="0" borderId="0" xfId="0"/>
    <xf numFmtId="0" fontId="0" fillId="0" borderId="0" xfId="0" applyFill="1" applyBorder="1" applyAlignment="1">
      <alignment horizontal="center" vertical="top" wrapText="1"/>
    </xf>
    <xf numFmtId="0" fontId="0" fillId="0" borderId="0" xfId="0"/>
    <xf numFmtId="166" fontId="0" fillId="0" borderId="0" xfId="0" applyNumberFormat="1"/>
    <xf numFmtId="167" fontId="0" fillId="0" borderId="0" xfId="0" applyNumberFormat="1"/>
    <xf numFmtId="0" fontId="0" fillId="0" borderId="0" xfId="0"/>
    <xf numFmtId="0" fontId="0" fillId="0" borderId="0" xfId="0" applyFont="1" applyFill="1" applyBorder="1" applyAlignment="1">
      <alignment vertical="top"/>
    </xf>
    <xf numFmtId="0" fontId="0" fillId="0" borderId="0" xfId="0" applyBorder="1"/>
    <xf numFmtId="0" fontId="0" fillId="0" borderId="0" xfId="0" applyFill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 applyFill="1"/>
    <xf numFmtId="164" fontId="0" fillId="0" borderId="1" xfId="0" applyNumberFormat="1" applyFill="1" applyBorder="1"/>
    <xf numFmtId="0" fontId="0" fillId="0" borderId="0" xfId="0"/>
    <xf numFmtId="0" fontId="0" fillId="0" borderId="0" xfId="0" applyBorder="1"/>
    <xf numFmtId="0" fontId="0" fillId="0" borderId="14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0" xfId="0" applyAlignment="1"/>
    <xf numFmtId="2" fontId="0" fillId="0" borderId="0" xfId="0" applyNumberFormat="1"/>
    <xf numFmtId="0" fontId="0" fillId="0" borderId="0" xfId="0" applyFont="1"/>
    <xf numFmtId="166" fontId="0" fillId="4" borderId="0" xfId="0" applyNumberFormat="1" applyFill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9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8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image" Target="../media/image12.emf"/><Relationship Id="rId7" Type="http://schemas.openxmlformats.org/officeDocument/2006/relationships/image" Target="../media/image16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Relationship Id="rId6" Type="http://schemas.openxmlformats.org/officeDocument/2006/relationships/image" Target="../media/image15.emf"/><Relationship Id="rId5" Type="http://schemas.openxmlformats.org/officeDocument/2006/relationships/image" Target="../media/image14.emf"/><Relationship Id="rId4" Type="http://schemas.openxmlformats.org/officeDocument/2006/relationships/image" Target="../media/image13.emf"/><Relationship Id="rId9" Type="http://schemas.openxmlformats.org/officeDocument/2006/relationships/image" Target="../media/image18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6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Relationship Id="rId9" Type="http://schemas.openxmlformats.org/officeDocument/2006/relationships/oleObject" Target="../embeddings/oleObject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3.bin"/><Relationship Id="rId3" Type="http://schemas.openxmlformats.org/officeDocument/2006/relationships/oleObject" Target="../embeddings/oleObject8.bin"/><Relationship Id="rId7" Type="http://schemas.openxmlformats.org/officeDocument/2006/relationships/oleObject" Target="../embeddings/oleObject1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1.bin"/><Relationship Id="rId5" Type="http://schemas.openxmlformats.org/officeDocument/2006/relationships/oleObject" Target="../embeddings/oleObject10.bin"/><Relationship Id="rId4" Type="http://schemas.openxmlformats.org/officeDocument/2006/relationships/oleObject" Target="../embeddings/oleObject9.bin"/><Relationship Id="rId9" Type="http://schemas.openxmlformats.org/officeDocument/2006/relationships/oleObject" Target="../embeddings/oleObject1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0.bin"/><Relationship Id="rId3" Type="http://schemas.openxmlformats.org/officeDocument/2006/relationships/oleObject" Target="../embeddings/oleObject15.bin"/><Relationship Id="rId7" Type="http://schemas.openxmlformats.org/officeDocument/2006/relationships/oleObject" Target="../embeddings/oleObject19.bin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8.bin"/><Relationship Id="rId5" Type="http://schemas.openxmlformats.org/officeDocument/2006/relationships/oleObject" Target="../embeddings/oleObject17.bin"/><Relationship Id="rId10" Type="http://schemas.openxmlformats.org/officeDocument/2006/relationships/oleObject" Target="../embeddings/oleObject22.bin"/><Relationship Id="rId4" Type="http://schemas.openxmlformats.org/officeDocument/2006/relationships/oleObject" Target="../embeddings/oleObject16.bin"/><Relationship Id="rId9" Type="http://schemas.openxmlformats.org/officeDocument/2006/relationships/oleObject" Target="../embeddings/oleObject2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8.bin"/><Relationship Id="rId3" Type="http://schemas.openxmlformats.org/officeDocument/2006/relationships/oleObject" Target="../embeddings/oleObject23.bin"/><Relationship Id="rId7" Type="http://schemas.openxmlformats.org/officeDocument/2006/relationships/oleObject" Target="../embeddings/oleObject27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26.bin"/><Relationship Id="rId11" Type="http://schemas.openxmlformats.org/officeDocument/2006/relationships/oleObject" Target="../embeddings/oleObject31.bin"/><Relationship Id="rId5" Type="http://schemas.openxmlformats.org/officeDocument/2006/relationships/oleObject" Target="../embeddings/oleObject25.bin"/><Relationship Id="rId10" Type="http://schemas.openxmlformats.org/officeDocument/2006/relationships/oleObject" Target="../embeddings/oleObject30.bin"/><Relationship Id="rId4" Type="http://schemas.openxmlformats.org/officeDocument/2006/relationships/oleObject" Target="../embeddings/oleObject24.bin"/><Relationship Id="rId9" Type="http://schemas.openxmlformats.org/officeDocument/2006/relationships/oleObject" Target="../embeddings/oleObject2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topLeftCell="A16" zoomScaleNormal="100" workbookViewId="0">
      <selection activeCell="L48" sqref="L48"/>
    </sheetView>
  </sheetViews>
  <sheetFormatPr defaultRowHeight="15"/>
  <cols>
    <col min="1" max="1" width="29.28515625" bestFit="1" customWidth="1"/>
    <col min="2" max="2" width="9.42578125" customWidth="1"/>
    <col min="3" max="5" width="12" bestFit="1" customWidth="1"/>
    <col min="6" max="6" width="12.5703125" bestFit="1" customWidth="1"/>
    <col min="7" max="7" width="12" bestFit="1" customWidth="1"/>
  </cols>
  <sheetData>
    <row r="1" spans="1:13" ht="18.75">
      <c r="A1" s="13" t="s">
        <v>36</v>
      </c>
    </row>
    <row r="2" spans="1:13" s="14" customFormat="1"/>
    <row r="3" spans="1:13" s="14" customFormat="1">
      <c r="A3" s="16" t="s">
        <v>41</v>
      </c>
      <c r="B3" s="16" t="s">
        <v>43</v>
      </c>
    </row>
    <row r="4" spans="1:13" s="14" customFormat="1">
      <c r="A4" s="16" t="s">
        <v>42</v>
      </c>
      <c r="B4" s="16" t="s">
        <v>44</v>
      </c>
    </row>
    <row r="5" spans="1:13" s="14" customFormat="1"/>
    <row r="6" spans="1:13" s="14" customFormat="1" ht="15" customHeight="1">
      <c r="A6" s="52"/>
      <c r="B6" s="56" t="s">
        <v>40</v>
      </c>
      <c r="C6" s="56"/>
      <c r="D6" s="29" t="s">
        <v>37</v>
      </c>
      <c r="E6" s="30"/>
      <c r="F6" s="30"/>
      <c r="G6" s="31"/>
      <c r="H6" s="29" t="s">
        <v>38</v>
      </c>
      <c r="I6" s="30"/>
      <c r="J6" s="30"/>
      <c r="K6" s="31"/>
      <c r="L6" s="51" t="s">
        <v>45</v>
      </c>
      <c r="M6" s="51"/>
    </row>
    <row r="7" spans="1:13" s="14" customFormat="1" ht="15" customHeight="1">
      <c r="A7" s="53"/>
      <c r="B7" s="45" t="s">
        <v>39</v>
      </c>
      <c r="C7" s="46"/>
      <c r="D7" s="32"/>
      <c r="E7" s="33"/>
      <c r="F7" s="33"/>
      <c r="G7" s="34"/>
      <c r="H7" s="32"/>
      <c r="I7" s="33"/>
      <c r="J7" s="33"/>
      <c r="K7" s="34"/>
      <c r="L7" s="51"/>
      <c r="M7" s="51"/>
    </row>
    <row r="8" spans="1:13" s="14" customFormat="1">
      <c r="A8" s="53"/>
      <c r="B8" s="47"/>
      <c r="C8" s="48"/>
      <c r="D8" s="35"/>
      <c r="E8" s="36"/>
      <c r="F8" s="36"/>
      <c r="G8" s="37"/>
      <c r="H8" s="35"/>
      <c r="I8" s="36"/>
      <c r="J8" s="36"/>
      <c r="K8" s="37"/>
      <c r="L8" s="51"/>
      <c r="M8" s="51"/>
    </row>
    <row r="9" spans="1:13" s="14" customFormat="1">
      <c r="A9" s="53"/>
      <c r="B9" s="47"/>
      <c r="C9" s="48"/>
      <c r="D9" s="35"/>
      <c r="E9" s="36"/>
      <c r="F9" s="36"/>
      <c r="G9" s="37"/>
      <c r="H9" s="35"/>
      <c r="I9" s="36"/>
      <c r="J9" s="36"/>
      <c r="K9" s="37"/>
      <c r="L9" s="51"/>
      <c r="M9" s="51"/>
    </row>
    <row r="10" spans="1:13" s="14" customFormat="1">
      <c r="A10" s="53"/>
      <c r="B10" s="47"/>
      <c r="C10" s="48"/>
      <c r="D10" s="38"/>
      <c r="E10" s="39"/>
      <c r="F10" s="39"/>
      <c r="G10" s="40"/>
      <c r="H10" s="38"/>
      <c r="I10" s="39"/>
      <c r="J10" s="39"/>
      <c r="K10" s="40"/>
      <c r="L10" s="51"/>
      <c r="M10" s="51"/>
    </row>
    <row r="11" spans="1:13" s="19" customFormat="1" ht="15" customHeight="1">
      <c r="A11" s="53"/>
      <c r="B11" s="47"/>
      <c r="C11" s="48"/>
      <c r="D11" s="29" t="s">
        <v>37</v>
      </c>
      <c r="E11" s="30"/>
      <c r="F11" s="30"/>
      <c r="G11" s="31"/>
      <c r="H11" s="29" t="s">
        <v>38</v>
      </c>
      <c r="I11" s="30"/>
      <c r="J11" s="30"/>
      <c r="K11" s="31"/>
      <c r="L11" s="51" t="s">
        <v>47</v>
      </c>
      <c r="M11" s="51"/>
    </row>
    <row r="12" spans="1:13" s="19" customFormat="1">
      <c r="A12" s="53"/>
      <c r="B12" s="47"/>
      <c r="C12" s="48"/>
      <c r="D12" s="32"/>
      <c r="E12" s="33"/>
      <c r="F12" s="33"/>
      <c r="G12" s="34"/>
      <c r="H12" s="41" t="s">
        <v>31</v>
      </c>
      <c r="I12" s="41"/>
      <c r="J12" s="41"/>
      <c r="K12" s="42"/>
      <c r="L12" s="51"/>
      <c r="M12" s="51"/>
    </row>
    <row r="13" spans="1:13" s="19" customFormat="1">
      <c r="A13" s="53"/>
      <c r="B13" s="47"/>
      <c r="C13" s="48"/>
      <c r="D13" s="35"/>
      <c r="E13" s="36"/>
      <c r="F13" s="36"/>
      <c r="G13" s="37"/>
      <c r="H13" s="41"/>
      <c r="I13" s="41"/>
      <c r="J13" s="41"/>
      <c r="K13" s="42"/>
      <c r="L13" s="51"/>
      <c r="M13" s="51"/>
    </row>
    <row r="14" spans="1:13" s="19" customFormat="1">
      <c r="A14" s="53"/>
      <c r="B14" s="47"/>
      <c r="C14" s="48"/>
      <c r="D14" s="35"/>
      <c r="E14" s="36"/>
      <c r="F14" s="36"/>
      <c r="G14" s="37"/>
      <c r="H14" s="41"/>
      <c r="I14" s="41"/>
      <c r="J14" s="41"/>
      <c r="K14" s="42"/>
      <c r="L14" s="51"/>
      <c r="M14" s="51"/>
    </row>
    <row r="15" spans="1:13" s="19" customFormat="1">
      <c r="A15" s="53"/>
      <c r="B15" s="47"/>
      <c r="C15" s="48"/>
      <c r="D15" s="38"/>
      <c r="E15" s="39"/>
      <c r="F15" s="39"/>
      <c r="G15" s="40"/>
      <c r="H15" s="43"/>
      <c r="I15" s="43"/>
      <c r="J15" s="43"/>
      <c r="K15" s="44"/>
      <c r="L15" s="51"/>
      <c r="M15" s="51"/>
    </row>
    <row r="16" spans="1:13" s="23" customFormat="1" ht="15" customHeight="1">
      <c r="A16" s="53"/>
      <c r="B16" s="47"/>
      <c r="C16" s="48"/>
      <c r="D16" s="29" t="s">
        <v>37</v>
      </c>
      <c r="E16" s="30"/>
      <c r="F16" s="30"/>
      <c r="G16" s="31"/>
      <c r="H16" s="29" t="s">
        <v>38</v>
      </c>
      <c r="I16" s="30"/>
      <c r="J16" s="30"/>
      <c r="K16" s="31"/>
      <c r="L16" s="51" t="s">
        <v>49</v>
      </c>
      <c r="M16" s="51"/>
    </row>
    <row r="17" spans="1:13" s="23" customFormat="1">
      <c r="A17" s="53"/>
      <c r="B17" s="47"/>
      <c r="C17" s="48"/>
      <c r="D17" s="32"/>
      <c r="E17" s="33"/>
      <c r="F17" s="33"/>
      <c r="G17" s="34"/>
      <c r="H17" s="41"/>
      <c r="I17" s="41"/>
      <c r="J17" s="41"/>
      <c r="K17" s="42"/>
      <c r="L17" s="51"/>
      <c r="M17" s="51"/>
    </row>
    <row r="18" spans="1:13" s="23" customFormat="1">
      <c r="A18" s="53"/>
      <c r="B18" s="47"/>
      <c r="C18" s="48"/>
      <c r="D18" s="35"/>
      <c r="E18" s="36"/>
      <c r="F18" s="36"/>
      <c r="G18" s="37"/>
      <c r="H18" s="41"/>
      <c r="I18" s="41"/>
      <c r="J18" s="41"/>
      <c r="K18" s="42"/>
      <c r="L18" s="51"/>
      <c r="M18" s="51"/>
    </row>
    <row r="19" spans="1:13" s="23" customFormat="1">
      <c r="A19" s="53"/>
      <c r="B19" s="47"/>
      <c r="C19" s="48"/>
      <c r="D19" s="35"/>
      <c r="E19" s="36"/>
      <c r="F19" s="36"/>
      <c r="G19" s="37"/>
      <c r="H19" s="41"/>
      <c r="I19" s="41"/>
      <c r="J19" s="41"/>
      <c r="K19" s="42"/>
      <c r="L19" s="51"/>
      <c r="M19" s="51"/>
    </row>
    <row r="20" spans="1:13" s="23" customFormat="1">
      <c r="A20" s="53"/>
      <c r="B20" s="47"/>
      <c r="C20" s="48"/>
      <c r="D20" s="38"/>
      <c r="E20" s="39"/>
      <c r="F20" s="39"/>
      <c r="G20" s="40"/>
      <c r="H20" s="43"/>
      <c r="I20" s="43"/>
      <c r="J20" s="43"/>
      <c r="K20" s="44"/>
      <c r="L20" s="51"/>
      <c r="M20" s="51"/>
    </row>
    <row r="21" spans="1:13" s="23" customFormat="1" ht="15" customHeight="1">
      <c r="A21" s="53"/>
      <c r="B21" s="47"/>
      <c r="C21" s="48"/>
      <c r="D21" s="29" t="s">
        <v>37</v>
      </c>
      <c r="E21" s="30"/>
      <c r="F21" s="30"/>
      <c r="G21" s="31"/>
      <c r="H21" s="29" t="s">
        <v>38</v>
      </c>
      <c r="I21" s="30"/>
      <c r="J21" s="30"/>
      <c r="K21" s="31"/>
      <c r="L21" s="51" t="s">
        <v>48</v>
      </c>
      <c r="M21" s="51"/>
    </row>
    <row r="22" spans="1:13" s="23" customFormat="1">
      <c r="A22" s="53"/>
      <c r="B22" s="47"/>
      <c r="C22" s="48"/>
      <c r="D22" s="32"/>
      <c r="E22" s="33"/>
      <c r="F22" s="33"/>
      <c r="G22" s="34"/>
      <c r="H22" s="41" t="s">
        <v>31</v>
      </c>
      <c r="I22" s="41"/>
      <c r="J22" s="41"/>
      <c r="K22" s="42"/>
      <c r="L22" s="51"/>
      <c r="M22" s="51"/>
    </row>
    <row r="23" spans="1:13" s="23" customFormat="1">
      <c r="A23" s="53"/>
      <c r="B23" s="47"/>
      <c r="C23" s="48"/>
      <c r="D23" s="35"/>
      <c r="E23" s="36"/>
      <c r="F23" s="36"/>
      <c r="G23" s="37"/>
      <c r="H23" s="41"/>
      <c r="I23" s="41"/>
      <c r="J23" s="41"/>
      <c r="K23" s="42"/>
      <c r="L23" s="51"/>
      <c r="M23" s="51"/>
    </row>
    <row r="24" spans="1:13" s="23" customFormat="1">
      <c r="A24" s="53"/>
      <c r="B24" s="47"/>
      <c r="C24" s="48"/>
      <c r="D24" s="35"/>
      <c r="E24" s="36"/>
      <c r="F24" s="36"/>
      <c r="G24" s="37"/>
      <c r="H24" s="41"/>
      <c r="I24" s="41"/>
      <c r="J24" s="41"/>
      <c r="K24" s="42"/>
      <c r="L24" s="51"/>
      <c r="M24" s="51"/>
    </row>
    <row r="25" spans="1:13" s="23" customFormat="1">
      <c r="A25" s="54"/>
      <c r="B25" s="49"/>
      <c r="C25" s="50"/>
      <c r="D25" s="38"/>
      <c r="E25" s="39"/>
      <c r="F25" s="39"/>
      <c r="G25" s="40"/>
      <c r="H25" s="43"/>
      <c r="I25" s="43"/>
      <c r="J25" s="43"/>
      <c r="K25" s="44"/>
      <c r="L25" s="51"/>
      <c r="M25" s="51"/>
    </row>
    <row r="26" spans="1:13">
      <c r="A26" s="23" t="s">
        <v>46</v>
      </c>
      <c r="B26" s="16"/>
    </row>
    <row r="28" spans="1:13">
      <c r="A28" t="s">
        <v>34</v>
      </c>
      <c r="B28" s="55" t="s">
        <v>87</v>
      </c>
      <c r="C28" s="55"/>
    </row>
    <row r="29" spans="1:13">
      <c r="A29" t="s">
        <v>35</v>
      </c>
      <c r="B29" s="10"/>
      <c r="C29" s="11"/>
      <c r="G29" s="15"/>
      <c r="H29" s="21"/>
      <c r="I29" s="21"/>
      <c r="J29" s="21"/>
    </row>
    <row r="30" spans="1:13">
      <c r="G30" s="21"/>
      <c r="H30" s="21"/>
      <c r="I30" s="20"/>
      <c r="J30" s="22"/>
    </row>
    <row r="31" spans="1:13">
      <c r="A31" s="1" t="s">
        <v>0</v>
      </c>
      <c r="B31" s="7">
        <v>9.1890000000000001</v>
      </c>
    </row>
    <row r="32" spans="1:13">
      <c r="A32" s="1" t="s">
        <v>1</v>
      </c>
      <c r="B32" s="7">
        <v>8293</v>
      </c>
      <c r="C32" t="s">
        <v>2</v>
      </c>
      <c r="D32" t="s">
        <v>3</v>
      </c>
    </row>
    <row r="33" spans="1:4">
      <c r="A33" s="1" t="s">
        <v>4</v>
      </c>
      <c r="B33" s="7">
        <v>33.725000000000001</v>
      </c>
      <c r="C33" s="16" t="s">
        <v>12</v>
      </c>
      <c r="D33" t="s">
        <v>5</v>
      </c>
    </row>
    <row r="34" spans="1:4">
      <c r="A34" s="1" t="s">
        <v>6</v>
      </c>
      <c r="B34" s="7">
        <v>19.02</v>
      </c>
      <c r="D34" t="s">
        <v>7</v>
      </c>
    </row>
    <row r="35" spans="1:4">
      <c r="A35" s="1" t="s">
        <v>8</v>
      </c>
      <c r="B35" s="7">
        <v>44.82</v>
      </c>
      <c r="C35" t="s">
        <v>9</v>
      </c>
      <c r="D35" t="s">
        <v>10</v>
      </c>
    </row>
    <row r="36" spans="1:4">
      <c r="A36" s="1"/>
      <c r="B36" s="7"/>
    </row>
    <row r="37" spans="1:4">
      <c r="A37" s="1" t="s">
        <v>11</v>
      </c>
      <c r="B37" s="7">
        <v>7.25</v>
      </c>
      <c r="C37" t="s">
        <v>12</v>
      </c>
      <c r="D37" t="s">
        <v>13</v>
      </c>
    </row>
    <row r="38" spans="1:4">
      <c r="A38" s="1" t="s">
        <v>14</v>
      </c>
      <c r="B38" s="7">
        <v>0</v>
      </c>
      <c r="D38" t="s">
        <v>15</v>
      </c>
    </row>
    <row r="39" spans="1:4">
      <c r="A39" s="1"/>
      <c r="B39" s="7"/>
    </row>
    <row r="40" spans="1:4">
      <c r="A40" s="1" t="s">
        <v>16</v>
      </c>
      <c r="B40" s="7">
        <v>65</v>
      </c>
      <c r="C40" t="s">
        <v>17</v>
      </c>
      <c r="D40" t="s">
        <v>18</v>
      </c>
    </row>
    <row r="41" spans="1:4">
      <c r="A41" s="1" t="s">
        <v>19</v>
      </c>
      <c r="B41" s="7">
        <v>7.3330000000000002</v>
      </c>
      <c r="C41" t="s">
        <v>17</v>
      </c>
      <c r="D41" t="s">
        <v>20</v>
      </c>
    </row>
    <row r="42" spans="1:4">
      <c r="A42" s="1"/>
      <c r="B42" s="7"/>
    </row>
    <row r="43" spans="1:4">
      <c r="A43" s="1" t="s">
        <v>21</v>
      </c>
      <c r="B43" s="7">
        <v>0</v>
      </c>
      <c r="C43" t="s">
        <v>17</v>
      </c>
    </row>
    <row r="45" spans="1:4">
      <c r="B45" t="s">
        <v>22</v>
      </c>
      <c r="C45">
        <f>(B34)+(B37/2)+B38</f>
        <v>22.645</v>
      </c>
    </row>
    <row r="46" spans="1:4">
      <c r="B46" t="s">
        <v>23</v>
      </c>
      <c r="C46" s="18">
        <f>B31*(B32+B35*C45^2)</f>
        <v>287399.92243635451</v>
      </c>
    </row>
    <row r="48" spans="1:4">
      <c r="A48" s="2" t="s">
        <v>24</v>
      </c>
    </row>
    <row r="49" spans="1:12" ht="15.75" thickBot="1">
      <c r="A49" s="3" t="s">
        <v>25</v>
      </c>
    </row>
    <row r="50" spans="1:12" ht="15.75" thickBot="1">
      <c r="A50" s="24" t="s">
        <v>50</v>
      </c>
      <c r="B50" s="4" t="s">
        <v>26</v>
      </c>
      <c r="C50">
        <v>7.4999999999999997E-2</v>
      </c>
      <c r="D50" s="17">
        <f>(B41/9.5)^0.6</f>
        <v>0.8561204041340027</v>
      </c>
      <c r="E50" s="17">
        <f>(B41/B40)^0.2</f>
        <v>0.64635879953045106</v>
      </c>
      <c r="F50" s="17">
        <f>(C46/(12*B40*B37^3))^0.1</f>
        <v>0.9966388270776172</v>
      </c>
      <c r="G50" s="8">
        <f>C50+D50*E50*F50</f>
        <v>0.62650101480571696</v>
      </c>
      <c r="H50" t="s">
        <v>27</v>
      </c>
    </row>
    <row r="51" spans="1:12" ht="15.75" thickBot="1">
      <c r="A51" t="s">
        <v>28</v>
      </c>
      <c r="B51" s="4" t="s">
        <v>26</v>
      </c>
      <c r="C51">
        <v>0.06</v>
      </c>
      <c r="D51" s="17">
        <f>(B41/14)^0.4</f>
        <v>0.77207850153455215</v>
      </c>
      <c r="E51" s="17">
        <f>(B41/B40)^0.3</f>
        <v>0.5196494817598164</v>
      </c>
      <c r="F51" s="17">
        <f>(C46/(12*B40*B37^3))^0.1</f>
        <v>0.9966388270776172</v>
      </c>
      <c r="G51" s="5">
        <f>C51+D51*E51*F51</f>
        <v>0.45986165636275672</v>
      </c>
      <c r="H51" s="24" t="s">
        <v>27</v>
      </c>
    </row>
    <row r="52" spans="1:12" ht="15.75" thickBot="1">
      <c r="A52" s="3" t="s">
        <v>29</v>
      </c>
      <c r="G52" s="6"/>
    </row>
    <row r="53" spans="1:12" ht="15.75" thickBot="1">
      <c r="A53" s="24" t="s">
        <v>50</v>
      </c>
      <c r="C53" t="s">
        <v>30</v>
      </c>
      <c r="D53">
        <f>0.77 +(B43/9.1)</f>
        <v>0.77</v>
      </c>
      <c r="E53" s="4" t="s">
        <v>26</v>
      </c>
      <c r="F53" s="8">
        <f>D53*G50</f>
        <v>0.48240578140040208</v>
      </c>
      <c r="G53" t="s">
        <v>27</v>
      </c>
    </row>
    <row r="54" spans="1:12" ht="15.75" thickBot="1">
      <c r="A54" t="s">
        <v>28</v>
      </c>
      <c r="C54" t="s">
        <v>31</v>
      </c>
      <c r="F54" s="5">
        <f>1.2*($B$41+$B$43-2)/(2*$B$41)</f>
        <v>0.43635619800900044</v>
      </c>
      <c r="G54" s="24" t="s">
        <v>27</v>
      </c>
    </row>
    <row r="56" spans="1:12">
      <c r="A56" s="2" t="s">
        <v>32</v>
      </c>
    </row>
    <row r="57" spans="1:12" ht="15.75" thickBot="1">
      <c r="A57" s="3" t="s">
        <v>25</v>
      </c>
    </row>
    <row r="58" spans="1:12" ht="15.75" thickBot="1">
      <c r="A58" s="24" t="s">
        <v>50</v>
      </c>
      <c r="C58">
        <v>0.2</v>
      </c>
      <c r="D58" s="17">
        <f>B41/12</f>
        <v>0.61108333333333331</v>
      </c>
      <c r="E58" s="17">
        <f>(B41/35)^2</f>
        <v>4.3896235918367346E-2</v>
      </c>
      <c r="F58" s="9">
        <f>C58+D58-E58</f>
        <v>0.76718709741496605</v>
      </c>
      <c r="G58" t="s">
        <v>27</v>
      </c>
    </row>
    <row r="59" spans="1:12" ht="15.75" thickBot="1">
      <c r="A59" t="s">
        <v>28</v>
      </c>
      <c r="C59">
        <v>0.36</v>
      </c>
      <c r="D59" s="17">
        <f>B41/25</f>
        <v>0.29332000000000003</v>
      </c>
      <c r="F59" s="5">
        <f>C59+D59</f>
        <v>0.65332000000000001</v>
      </c>
      <c r="G59" s="24" t="s">
        <v>27</v>
      </c>
    </row>
    <row r="60" spans="1:12" ht="15.75" thickBot="1">
      <c r="A60" s="3" t="s">
        <v>29</v>
      </c>
    </row>
    <row r="61" spans="1:12" ht="15.75" thickBot="1">
      <c r="A61" s="24" t="s">
        <v>50</v>
      </c>
      <c r="C61" t="s">
        <v>33</v>
      </c>
      <c r="D61">
        <f>0.6+(B43/10)</f>
        <v>0.6</v>
      </c>
      <c r="E61" t="s">
        <v>26</v>
      </c>
      <c r="F61" s="9">
        <f>D61*F58</f>
        <v>0.46031225844897961</v>
      </c>
      <c r="G61" t="s">
        <v>27</v>
      </c>
    </row>
    <row r="62" spans="1:12" ht="15.75" thickBot="1">
      <c r="A62" t="s">
        <v>28</v>
      </c>
      <c r="C62" t="s">
        <v>31</v>
      </c>
      <c r="F62" s="5">
        <f>1.2*($B$41+$B$43-2)/(2*$B$41)</f>
        <v>0.43635619800900044</v>
      </c>
      <c r="G62" s="24" t="s">
        <v>27</v>
      </c>
    </row>
    <row r="63" spans="1:1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</sheetData>
  <mergeCells count="24">
    <mergeCell ref="A6:A25"/>
    <mergeCell ref="B28:C28"/>
    <mergeCell ref="D7:G10"/>
    <mergeCell ref="H6:K6"/>
    <mergeCell ref="D6:G6"/>
    <mergeCell ref="H7:K10"/>
    <mergeCell ref="B6:C6"/>
    <mergeCell ref="D11:G11"/>
    <mergeCell ref="H11:K11"/>
    <mergeCell ref="D12:G15"/>
    <mergeCell ref="H12:K15"/>
    <mergeCell ref="L6:M10"/>
    <mergeCell ref="L11:M15"/>
    <mergeCell ref="D16:G16"/>
    <mergeCell ref="H16:K16"/>
    <mergeCell ref="L21:M25"/>
    <mergeCell ref="D17:G20"/>
    <mergeCell ref="H17:K20"/>
    <mergeCell ref="L16:M20"/>
    <mergeCell ref="D21:G21"/>
    <mergeCell ref="H21:K21"/>
    <mergeCell ref="D22:G25"/>
    <mergeCell ref="H22:K25"/>
    <mergeCell ref="B7:C25"/>
  </mergeCells>
  <pageMargins left="0.7" right="0.7" top="0.75" bottom="0.75" header="0.3" footer="0.3"/>
  <pageSetup scale="73" orientation="portrait" r:id="rId1"/>
  <legacyDrawing r:id="rId2"/>
  <oleObjects>
    <oleObject progId="Equation.3" shapeId="1025" r:id="rId3"/>
    <oleObject progId="Equation.3" shapeId="1026" r:id="rId4"/>
    <oleObject progId="PBrush" shapeId="1027" r:id="rId5"/>
    <oleObject progId="Equation.3" shapeId="1033" r:id="rId6"/>
    <oleObject progId="Equation.3" shapeId="1035" r:id="rId7"/>
    <oleObject progId="Equation.3" shapeId="1036" r:id="rId8"/>
    <oleObject progId="Equation.3" shapeId="1037" r:id="rId9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M63"/>
  <sheetViews>
    <sheetView topLeftCell="A34" zoomScaleNormal="100" workbookViewId="0">
      <selection activeCell="B67" sqref="B67"/>
    </sheetView>
  </sheetViews>
  <sheetFormatPr defaultRowHeight="15"/>
  <cols>
    <col min="1" max="1" width="29.28515625" style="27" bestFit="1" customWidth="1"/>
    <col min="2" max="2" width="9.42578125" style="27" customWidth="1"/>
    <col min="3" max="5" width="12" style="27" bestFit="1" customWidth="1"/>
    <col min="6" max="6" width="12.5703125" style="27" bestFit="1" customWidth="1"/>
    <col min="7" max="7" width="12" style="27" bestFit="1" customWidth="1"/>
    <col min="8" max="16384" width="9.140625" style="27"/>
  </cols>
  <sheetData>
    <row r="1" spans="1:13" ht="18.75">
      <c r="A1" s="13" t="s">
        <v>51</v>
      </c>
    </row>
    <row r="3" spans="1:13">
      <c r="A3" s="27" t="s">
        <v>41</v>
      </c>
      <c r="B3" s="27" t="s">
        <v>52</v>
      </c>
    </row>
    <row r="4" spans="1:13">
      <c r="A4" s="27" t="s">
        <v>42</v>
      </c>
      <c r="B4" s="27" t="s">
        <v>53</v>
      </c>
    </row>
    <row r="6" spans="1:13" ht="15" customHeight="1">
      <c r="A6" s="52"/>
      <c r="B6" s="56" t="s">
        <v>40</v>
      </c>
      <c r="C6" s="56"/>
      <c r="D6" s="29" t="s">
        <v>37</v>
      </c>
      <c r="E6" s="30"/>
      <c r="F6" s="30"/>
      <c r="G6" s="31"/>
      <c r="H6" s="29" t="s">
        <v>38</v>
      </c>
      <c r="I6" s="30"/>
      <c r="J6" s="30"/>
      <c r="K6" s="31"/>
      <c r="L6" s="51" t="s">
        <v>45</v>
      </c>
      <c r="M6" s="51"/>
    </row>
    <row r="7" spans="1:13" ht="15" customHeight="1">
      <c r="A7" s="53"/>
      <c r="B7" s="45" t="s">
        <v>39</v>
      </c>
      <c r="C7" s="46"/>
      <c r="D7" s="32"/>
      <c r="E7" s="33"/>
      <c r="F7" s="33"/>
      <c r="G7" s="34"/>
      <c r="H7" s="32"/>
      <c r="I7" s="33"/>
      <c r="J7" s="33"/>
      <c r="K7" s="34"/>
      <c r="L7" s="51"/>
      <c r="M7" s="51"/>
    </row>
    <row r="8" spans="1:13">
      <c r="A8" s="53"/>
      <c r="B8" s="47"/>
      <c r="C8" s="48"/>
      <c r="D8" s="35"/>
      <c r="E8" s="36"/>
      <c r="F8" s="36"/>
      <c r="G8" s="37"/>
      <c r="H8" s="35"/>
      <c r="I8" s="36"/>
      <c r="J8" s="36"/>
      <c r="K8" s="37"/>
      <c r="L8" s="51"/>
      <c r="M8" s="51"/>
    </row>
    <row r="9" spans="1:13">
      <c r="A9" s="53"/>
      <c r="B9" s="47"/>
      <c r="C9" s="48"/>
      <c r="D9" s="35"/>
      <c r="E9" s="36"/>
      <c r="F9" s="36"/>
      <c r="G9" s="37"/>
      <c r="H9" s="35"/>
      <c r="I9" s="36"/>
      <c r="J9" s="36"/>
      <c r="K9" s="37"/>
      <c r="L9" s="51"/>
      <c r="M9" s="51"/>
    </row>
    <row r="10" spans="1:13">
      <c r="A10" s="53"/>
      <c r="B10" s="47"/>
      <c r="C10" s="48"/>
      <c r="D10" s="38"/>
      <c r="E10" s="39"/>
      <c r="F10" s="39"/>
      <c r="G10" s="40"/>
      <c r="H10" s="38"/>
      <c r="I10" s="39"/>
      <c r="J10" s="39"/>
      <c r="K10" s="40"/>
      <c r="L10" s="51"/>
      <c r="M10" s="51"/>
    </row>
    <row r="11" spans="1:13" ht="15" customHeight="1">
      <c r="A11" s="53"/>
      <c r="B11" s="47"/>
      <c r="C11" s="48"/>
      <c r="D11" s="29" t="s">
        <v>37</v>
      </c>
      <c r="E11" s="30"/>
      <c r="F11" s="30"/>
      <c r="G11" s="31"/>
      <c r="H11" s="29" t="s">
        <v>38</v>
      </c>
      <c r="I11" s="30"/>
      <c r="J11" s="30"/>
      <c r="K11" s="31"/>
      <c r="L11" s="51" t="s">
        <v>47</v>
      </c>
      <c r="M11" s="51"/>
    </row>
    <row r="12" spans="1:13">
      <c r="A12" s="53"/>
      <c r="B12" s="47"/>
      <c r="C12" s="48"/>
      <c r="D12" s="32"/>
      <c r="E12" s="33"/>
      <c r="F12" s="33"/>
      <c r="G12" s="34"/>
      <c r="H12" s="41" t="s">
        <v>31</v>
      </c>
      <c r="I12" s="41"/>
      <c r="J12" s="41"/>
      <c r="K12" s="42"/>
      <c r="L12" s="51"/>
      <c r="M12" s="51"/>
    </row>
    <row r="13" spans="1:13">
      <c r="A13" s="53"/>
      <c r="B13" s="47"/>
      <c r="C13" s="48"/>
      <c r="D13" s="35"/>
      <c r="E13" s="36"/>
      <c r="F13" s="36"/>
      <c r="G13" s="37"/>
      <c r="H13" s="41"/>
      <c r="I13" s="41"/>
      <c r="J13" s="41"/>
      <c r="K13" s="42"/>
      <c r="L13" s="51"/>
      <c r="M13" s="51"/>
    </row>
    <row r="14" spans="1:13">
      <c r="A14" s="53"/>
      <c r="B14" s="47"/>
      <c r="C14" s="48"/>
      <c r="D14" s="35"/>
      <c r="E14" s="36"/>
      <c r="F14" s="36"/>
      <c r="G14" s="37"/>
      <c r="H14" s="41"/>
      <c r="I14" s="41"/>
      <c r="J14" s="41"/>
      <c r="K14" s="42"/>
      <c r="L14" s="51"/>
      <c r="M14" s="51"/>
    </row>
    <row r="15" spans="1:13">
      <c r="A15" s="53"/>
      <c r="B15" s="47"/>
      <c r="C15" s="48"/>
      <c r="D15" s="38"/>
      <c r="E15" s="39"/>
      <c r="F15" s="39"/>
      <c r="G15" s="40"/>
      <c r="H15" s="43"/>
      <c r="I15" s="43"/>
      <c r="J15" s="43"/>
      <c r="K15" s="44"/>
      <c r="L15" s="51"/>
      <c r="M15" s="51"/>
    </row>
    <row r="16" spans="1:13" ht="15" customHeight="1">
      <c r="A16" s="53"/>
      <c r="B16" s="47"/>
      <c r="C16" s="48"/>
      <c r="D16" s="29" t="s">
        <v>37</v>
      </c>
      <c r="E16" s="30"/>
      <c r="F16" s="30"/>
      <c r="G16" s="31"/>
      <c r="H16" s="29" t="s">
        <v>38</v>
      </c>
      <c r="I16" s="30"/>
      <c r="J16" s="30"/>
      <c r="K16" s="31"/>
      <c r="L16" s="51" t="s">
        <v>49</v>
      </c>
      <c r="M16" s="51"/>
    </row>
    <row r="17" spans="1:13">
      <c r="A17" s="53"/>
      <c r="B17" s="47"/>
      <c r="C17" s="48"/>
      <c r="D17" s="32"/>
      <c r="E17" s="33"/>
      <c r="F17" s="33"/>
      <c r="G17" s="34"/>
      <c r="H17" s="41"/>
      <c r="I17" s="41"/>
      <c r="J17" s="41"/>
      <c r="K17" s="42"/>
      <c r="L17" s="51"/>
      <c r="M17" s="51"/>
    </row>
    <row r="18" spans="1:13">
      <c r="A18" s="53"/>
      <c r="B18" s="47"/>
      <c r="C18" s="48"/>
      <c r="D18" s="35"/>
      <c r="E18" s="36"/>
      <c r="F18" s="36"/>
      <c r="G18" s="37"/>
      <c r="H18" s="41"/>
      <c r="I18" s="41"/>
      <c r="J18" s="41"/>
      <c r="K18" s="42"/>
      <c r="L18" s="51"/>
      <c r="M18" s="51"/>
    </row>
    <row r="19" spans="1:13">
      <c r="A19" s="53"/>
      <c r="B19" s="47"/>
      <c r="C19" s="48"/>
      <c r="D19" s="35"/>
      <c r="E19" s="36"/>
      <c r="F19" s="36"/>
      <c r="G19" s="37"/>
      <c r="H19" s="41"/>
      <c r="I19" s="41"/>
      <c r="J19" s="41"/>
      <c r="K19" s="42"/>
      <c r="L19" s="51"/>
      <c r="M19" s="51"/>
    </row>
    <row r="20" spans="1:13">
      <c r="A20" s="53"/>
      <c r="B20" s="47"/>
      <c r="C20" s="48"/>
      <c r="D20" s="38"/>
      <c r="E20" s="39"/>
      <c r="F20" s="39"/>
      <c r="G20" s="40"/>
      <c r="H20" s="43"/>
      <c r="I20" s="43"/>
      <c r="J20" s="43"/>
      <c r="K20" s="44"/>
      <c r="L20" s="51"/>
      <c r="M20" s="51"/>
    </row>
    <row r="21" spans="1:13" ht="15" customHeight="1">
      <c r="A21" s="53"/>
      <c r="B21" s="47"/>
      <c r="C21" s="48"/>
      <c r="D21" s="29" t="s">
        <v>37</v>
      </c>
      <c r="E21" s="30"/>
      <c r="F21" s="30"/>
      <c r="G21" s="31"/>
      <c r="H21" s="29" t="s">
        <v>38</v>
      </c>
      <c r="I21" s="30"/>
      <c r="J21" s="30"/>
      <c r="K21" s="31"/>
      <c r="L21" s="51" t="s">
        <v>48</v>
      </c>
      <c r="M21" s="51"/>
    </row>
    <row r="22" spans="1:13">
      <c r="A22" s="53"/>
      <c r="B22" s="47"/>
      <c r="C22" s="48"/>
      <c r="D22" s="32"/>
      <c r="E22" s="33"/>
      <c r="F22" s="33"/>
      <c r="G22" s="34"/>
      <c r="H22" s="41" t="s">
        <v>31</v>
      </c>
      <c r="I22" s="41"/>
      <c r="J22" s="41"/>
      <c r="K22" s="42"/>
      <c r="L22" s="51"/>
      <c r="M22" s="51"/>
    </row>
    <row r="23" spans="1:13">
      <c r="A23" s="53"/>
      <c r="B23" s="47"/>
      <c r="C23" s="48"/>
      <c r="D23" s="35"/>
      <c r="E23" s="36"/>
      <c r="F23" s="36"/>
      <c r="G23" s="37"/>
      <c r="H23" s="41"/>
      <c r="I23" s="41"/>
      <c r="J23" s="41"/>
      <c r="K23" s="42"/>
      <c r="L23" s="51"/>
      <c r="M23" s="51"/>
    </row>
    <row r="24" spans="1:13">
      <c r="A24" s="53"/>
      <c r="B24" s="47"/>
      <c r="C24" s="48"/>
      <c r="D24" s="35"/>
      <c r="E24" s="36"/>
      <c r="F24" s="36"/>
      <c r="G24" s="37"/>
      <c r="H24" s="41"/>
      <c r="I24" s="41"/>
      <c r="J24" s="41"/>
      <c r="K24" s="42"/>
      <c r="L24" s="51"/>
      <c r="M24" s="51"/>
    </row>
    <row r="25" spans="1:13">
      <c r="A25" s="54"/>
      <c r="B25" s="49"/>
      <c r="C25" s="50"/>
      <c r="D25" s="38"/>
      <c r="E25" s="39"/>
      <c r="F25" s="39"/>
      <c r="G25" s="40"/>
      <c r="H25" s="43"/>
      <c r="I25" s="43"/>
      <c r="J25" s="43"/>
      <c r="K25" s="44"/>
      <c r="L25" s="51"/>
      <c r="M25" s="51"/>
    </row>
    <row r="26" spans="1:13">
      <c r="A26" s="27" t="s">
        <v>46</v>
      </c>
    </row>
    <row r="28" spans="1:13">
      <c r="A28" s="27" t="s">
        <v>34</v>
      </c>
      <c r="B28" s="55" t="s">
        <v>83</v>
      </c>
      <c r="C28" s="55"/>
    </row>
    <row r="29" spans="1:13">
      <c r="A29" s="27" t="s">
        <v>35</v>
      </c>
      <c r="B29" s="10"/>
      <c r="C29" s="11"/>
      <c r="G29" s="15"/>
      <c r="H29" s="28"/>
      <c r="I29" s="28"/>
      <c r="J29" s="28"/>
    </row>
    <row r="30" spans="1:13">
      <c r="G30" s="28"/>
      <c r="H30" s="28"/>
      <c r="I30" s="20"/>
      <c r="J30" s="22"/>
    </row>
    <row r="31" spans="1:13">
      <c r="A31" s="1" t="s">
        <v>0</v>
      </c>
      <c r="B31" s="7">
        <v>1</v>
      </c>
    </row>
    <row r="32" spans="1:13">
      <c r="A32" s="1" t="s">
        <v>1</v>
      </c>
      <c r="B32" s="7">
        <v>17280</v>
      </c>
      <c r="C32" s="27" t="s">
        <v>2</v>
      </c>
      <c r="D32" s="27" t="s">
        <v>57</v>
      </c>
    </row>
    <row r="33" spans="1:4">
      <c r="A33" s="1" t="s">
        <v>4</v>
      </c>
      <c r="B33" s="7">
        <v>30</v>
      </c>
      <c r="C33" s="27" t="s">
        <v>12</v>
      </c>
      <c r="D33" s="27" t="s">
        <v>58</v>
      </c>
    </row>
    <row r="34" spans="1:4">
      <c r="A34" s="1"/>
      <c r="B34" s="25"/>
    </row>
    <row r="35" spans="1:4">
      <c r="A35" s="1" t="s">
        <v>8</v>
      </c>
      <c r="B35" s="25">
        <f>(B33-B37)*B38</f>
        <v>360</v>
      </c>
      <c r="C35" s="27" t="s">
        <v>9</v>
      </c>
      <c r="D35" s="27" t="s">
        <v>59</v>
      </c>
    </row>
    <row r="36" spans="1:4">
      <c r="A36" s="1"/>
      <c r="B36" s="25"/>
    </row>
    <row r="37" spans="1:4">
      <c r="A37" s="1" t="s">
        <v>11</v>
      </c>
      <c r="B37" s="7">
        <v>6</v>
      </c>
      <c r="C37" s="27" t="s">
        <v>12</v>
      </c>
      <c r="D37" s="27" t="s">
        <v>60</v>
      </c>
    </row>
    <row r="38" spans="1:4">
      <c r="A38" s="1" t="s">
        <v>85</v>
      </c>
      <c r="B38" s="7">
        <v>15</v>
      </c>
      <c r="C38" s="27" t="s">
        <v>12</v>
      </c>
      <c r="D38" s="27" t="s">
        <v>86</v>
      </c>
    </row>
    <row r="39" spans="1:4">
      <c r="A39" s="1"/>
      <c r="B39" s="25"/>
    </row>
    <row r="40" spans="1:4">
      <c r="A40" s="1" t="s">
        <v>16</v>
      </c>
      <c r="B40" s="7">
        <v>26</v>
      </c>
      <c r="C40" s="27" t="s">
        <v>17</v>
      </c>
      <c r="D40" s="27" t="s">
        <v>18</v>
      </c>
    </row>
    <row r="41" spans="1:4">
      <c r="A41" s="1" t="s">
        <v>19</v>
      </c>
      <c r="B41" s="64">
        <f>6+(6.25/12)</f>
        <v>6.520833333333333</v>
      </c>
      <c r="C41" s="27" t="s">
        <v>17</v>
      </c>
      <c r="D41" s="27" t="s">
        <v>20</v>
      </c>
    </row>
    <row r="42" spans="1:4">
      <c r="A42" s="1"/>
      <c r="B42" s="7"/>
    </row>
    <row r="43" spans="1:4">
      <c r="A43" s="1" t="s">
        <v>21</v>
      </c>
      <c r="B43" s="7">
        <v>2</v>
      </c>
      <c r="C43" s="27" t="s">
        <v>17</v>
      </c>
    </row>
    <row r="44" spans="1:4">
      <c r="B44" s="27">
        <v>2.375</v>
      </c>
    </row>
    <row r="45" spans="1:4">
      <c r="B45" s="27" t="s">
        <v>22</v>
      </c>
      <c r="C45" s="27">
        <f>0.5*((B33-B37)+B37)</f>
        <v>15</v>
      </c>
    </row>
    <row r="46" spans="1:4">
      <c r="B46" s="27" t="s">
        <v>23</v>
      </c>
      <c r="C46" s="18">
        <f>B31*(B32+B35*C45^2)</f>
        <v>98280</v>
      </c>
    </row>
    <row r="48" spans="1:4">
      <c r="A48" s="2" t="s">
        <v>24</v>
      </c>
    </row>
    <row r="49" spans="1:12" ht="15.75" thickBot="1">
      <c r="A49" s="3" t="s">
        <v>25</v>
      </c>
    </row>
    <row r="50" spans="1:12" ht="15.75" thickBot="1">
      <c r="A50" s="27" t="s">
        <v>50</v>
      </c>
      <c r="B50" s="4" t="s">
        <v>26</v>
      </c>
      <c r="C50" s="27">
        <v>7.4999999999999997E-2</v>
      </c>
      <c r="D50" s="17">
        <f>(B41/9.5)^0.6</f>
        <v>0.79789858874224262</v>
      </c>
      <c r="E50" s="17">
        <f>(B41/B40)^0.2</f>
        <v>0.7583434682131327</v>
      </c>
      <c r="F50" s="17">
        <f>(C46/(12*B40*B37^3))^0.1</f>
        <v>1.0384502142365559</v>
      </c>
      <c r="G50" s="8">
        <f>C50+D50*E50*F50</f>
        <v>0.70334668418867397</v>
      </c>
      <c r="H50" s="27" t="s">
        <v>27</v>
      </c>
    </row>
    <row r="51" spans="1:12" ht="15.75" thickBot="1">
      <c r="A51" s="27" t="s">
        <v>28</v>
      </c>
      <c r="B51" s="4" t="s">
        <v>26</v>
      </c>
      <c r="C51" s="27">
        <v>0.06</v>
      </c>
      <c r="D51" s="17">
        <f>(B41/14)^0.4</f>
        <v>0.73666498201892683</v>
      </c>
      <c r="E51" s="17">
        <f>(B41/B40)^0.3</f>
        <v>0.66038762383653915</v>
      </c>
      <c r="F51" s="17">
        <f>(C46/(12*B40*B37^3))^0.1</f>
        <v>1.0384502142365559</v>
      </c>
      <c r="G51" s="5">
        <f>C51+D51*E51*F51</f>
        <v>0.56518986786596837</v>
      </c>
      <c r="H51" s="27" t="s">
        <v>27</v>
      </c>
    </row>
    <row r="52" spans="1:12" ht="15.75" thickBot="1">
      <c r="A52" s="3" t="s">
        <v>29</v>
      </c>
      <c r="G52" s="6"/>
    </row>
    <row r="53" spans="1:12" ht="15.75" thickBot="1">
      <c r="A53" s="27" t="s">
        <v>50</v>
      </c>
      <c r="C53" s="27" t="s">
        <v>30</v>
      </c>
      <c r="D53" s="27">
        <f>0.77 +(B43/9.1)</f>
        <v>0.98978021978021979</v>
      </c>
      <c r="E53" s="4" t="s">
        <v>26</v>
      </c>
      <c r="F53" s="8">
        <f>D53*G50</f>
        <v>0.69615863565795455</v>
      </c>
      <c r="G53" s="27" t="s">
        <v>27</v>
      </c>
    </row>
    <row r="54" spans="1:12" ht="15.75" thickBot="1">
      <c r="A54" s="27" t="s">
        <v>28</v>
      </c>
      <c r="C54" s="27" t="s">
        <v>31</v>
      </c>
      <c r="F54" s="5">
        <f>1.2*($B$41+$B$43-2)/(2*$B$41)</f>
        <v>0.59999999999999987</v>
      </c>
      <c r="G54" s="27" t="s">
        <v>27</v>
      </c>
    </row>
    <row r="56" spans="1:12">
      <c r="A56" s="2" t="s">
        <v>32</v>
      </c>
    </row>
    <row r="57" spans="1:12" ht="15.75" thickBot="1">
      <c r="A57" s="3" t="s">
        <v>25</v>
      </c>
    </row>
    <row r="58" spans="1:12" ht="15.75" thickBot="1">
      <c r="A58" s="27" t="s">
        <v>50</v>
      </c>
      <c r="C58" s="27">
        <v>0.2</v>
      </c>
      <c r="D58" s="17">
        <f>B41/12</f>
        <v>0.54340277777777779</v>
      </c>
      <c r="E58" s="17">
        <f>(B41/35)^2</f>
        <v>3.4711238662131522E-2</v>
      </c>
      <c r="F58" s="9">
        <f>C58+D58-E58</f>
        <v>0.70869153911564631</v>
      </c>
      <c r="G58" s="27" t="s">
        <v>27</v>
      </c>
    </row>
    <row r="59" spans="1:12" ht="15.75" thickBot="1">
      <c r="A59" s="27" t="s">
        <v>28</v>
      </c>
      <c r="C59" s="27">
        <v>0.36</v>
      </c>
      <c r="D59" s="17">
        <f>B41/25</f>
        <v>0.26083333333333331</v>
      </c>
      <c r="F59" s="5">
        <f>C59+D59</f>
        <v>0.62083333333333335</v>
      </c>
      <c r="G59" s="27" t="s">
        <v>27</v>
      </c>
    </row>
    <row r="60" spans="1:12" ht="15.75" thickBot="1">
      <c r="A60" s="3" t="s">
        <v>29</v>
      </c>
    </row>
    <row r="61" spans="1:12" ht="15.75" thickBot="1">
      <c r="A61" s="27" t="s">
        <v>50</v>
      </c>
      <c r="C61" s="27" t="s">
        <v>33</v>
      </c>
      <c r="D61" s="27">
        <f>0.6+(B43/10)</f>
        <v>0.8</v>
      </c>
      <c r="E61" s="27" t="s">
        <v>26</v>
      </c>
      <c r="F61" s="9">
        <f>D61*F58</f>
        <v>0.56695323129251707</v>
      </c>
      <c r="G61" s="27" t="s">
        <v>27</v>
      </c>
    </row>
    <row r="62" spans="1:12" ht="15.75" thickBot="1">
      <c r="A62" s="27" t="s">
        <v>28</v>
      </c>
      <c r="C62" s="27" t="s">
        <v>31</v>
      </c>
      <c r="F62" s="5">
        <f>1.2*($B$41+$B$43-2)/(2*$B$41)</f>
        <v>0.59999999999999987</v>
      </c>
      <c r="G62" s="27" t="s">
        <v>27</v>
      </c>
    </row>
    <row r="63" spans="1:1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</sheetData>
  <mergeCells count="24">
    <mergeCell ref="D21:G21"/>
    <mergeCell ref="H21:K21"/>
    <mergeCell ref="L21:M25"/>
    <mergeCell ref="D22:G25"/>
    <mergeCell ref="H22:K25"/>
    <mergeCell ref="B28:C28"/>
    <mergeCell ref="L11:M15"/>
    <mergeCell ref="D12:G15"/>
    <mergeCell ref="H12:K15"/>
    <mergeCell ref="D16:G16"/>
    <mergeCell ref="H16:K16"/>
    <mergeCell ref="L16:M20"/>
    <mergeCell ref="D17:G20"/>
    <mergeCell ref="H17:K20"/>
    <mergeCell ref="A6:A25"/>
    <mergeCell ref="B6:C6"/>
    <mergeCell ref="D6:G6"/>
    <mergeCell ref="H6:K6"/>
    <mergeCell ref="L6:M10"/>
    <mergeCell ref="B7:C25"/>
    <mergeCell ref="D7:G10"/>
    <mergeCell ref="H7:K10"/>
    <mergeCell ref="D11:G11"/>
    <mergeCell ref="H11:K11"/>
  </mergeCells>
  <pageMargins left="0.7" right="0.7" top="0.75" bottom="0.75" header="0.3" footer="0.3"/>
  <pageSetup scale="73" orientation="portrait" r:id="rId1"/>
  <legacyDrawing r:id="rId2"/>
  <oleObjects>
    <oleObject progId="Equation.3" shapeId="7169" r:id="rId3"/>
    <oleObject progId="Equation.3" shapeId="7170" r:id="rId4"/>
    <oleObject progId="Equation.3" shapeId="7172" r:id="rId5"/>
    <oleObject progId="Equation.3" shapeId="7173" r:id="rId6"/>
    <oleObject progId="Equation.3" shapeId="7174" r:id="rId7"/>
    <oleObject progId="Equation.3" shapeId="7175" r:id="rId8"/>
    <oleObject progId="PBrush" shapeId="7176" r:id="rId9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M63"/>
  <sheetViews>
    <sheetView tabSelected="1" zoomScaleNormal="100" workbookViewId="0">
      <selection activeCell="F71" sqref="F71"/>
    </sheetView>
  </sheetViews>
  <sheetFormatPr defaultRowHeight="15"/>
  <cols>
    <col min="1" max="1" width="29.28515625" style="27" bestFit="1" customWidth="1"/>
    <col min="2" max="2" width="9.42578125" style="27" customWidth="1"/>
    <col min="3" max="5" width="12" style="27" bestFit="1" customWidth="1"/>
    <col min="6" max="6" width="12.5703125" style="27" bestFit="1" customWidth="1"/>
    <col min="7" max="7" width="12" style="27" bestFit="1" customWidth="1"/>
    <col min="8" max="16384" width="9.140625" style="27"/>
  </cols>
  <sheetData>
    <row r="1" spans="1:13" ht="18.75">
      <c r="A1" s="13" t="s">
        <v>54</v>
      </c>
    </row>
    <row r="3" spans="1:13">
      <c r="A3" s="27" t="s">
        <v>41</v>
      </c>
      <c r="B3" s="27" t="s">
        <v>43</v>
      </c>
    </row>
    <row r="4" spans="1:13">
      <c r="A4" s="27" t="s">
        <v>42</v>
      </c>
      <c r="B4" s="27" t="s">
        <v>44</v>
      </c>
    </row>
    <row r="6" spans="1:13" ht="15" customHeight="1">
      <c r="A6" s="52"/>
      <c r="B6" s="56" t="s">
        <v>40</v>
      </c>
      <c r="C6" s="56"/>
      <c r="D6" s="29" t="s">
        <v>37</v>
      </c>
      <c r="E6" s="30"/>
      <c r="F6" s="30"/>
      <c r="G6" s="31"/>
      <c r="H6" s="29" t="s">
        <v>38</v>
      </c>
      <c r="I6" s="30"/>
      <c r="J6" s="30"/>
      <c r="K6" s="31"/>
      <c r="L6" s="51" t="s">
        <v>45</v>
      </c>
      <c r="M6" s="51"/>
    </row>
    <row r="7" spans="1:13" ht="15" customHeight="1">
      <c r="A7" s="53"/>
      <c r="B7" s="45" t="s">
        <v>39</v>
      </c>
      <c r="C7" s="46"/>
      <c r="D7" s="32"/>
      <c r="E7" s="33"/>
      <c r="F7" s="33"/>
      <c r="G7" s="34"/>
      <c r="H7" s="32"/>
      <c r="I7" s="33"/>
      <c r="J7" s="33"/>
      <c r="K7" s="34"/>
      <c r="L7" s="51"/>
      <c r="M7" s="51"/>
    </row>
    <row r="8" spans="1:13">
      <c r="A8" s="53"/>
      <c r="B8" s="47"/>
      <c r="C8" s="48"/>
      <c r="D8" s="35"/>
      <c r="E8" s="36"/>
      <c r="F8" s="36"/>
      <c r="G8" s="37"/>
      <c r="H8" s="35"/>
      <c r="I8" s="36"/>
      <c r="J8" s="36"/>
      <c r="K8" s="37"/>
      <c r="L8" s="51"/>
      <c r="M8" s="51"/>
    </row>
    <row r="9" spans="1:13">
      <c r="A9" s="53"/>
      <c r="B9" s="47"/>
      <c r="C9" s="48"/>
      <c r="D9" s="35"/>
      <c r="E9" s="36"/>
      <c r="F9" s="36"/>
      <c r="G9" s="37"/>
      <c r="H9" s="35"/>
      <c r="I9" s="36"/>
      <c r="J9" s="36"/>
      <c r="K9" s="37"/>
      <c r="L9" s="51"/>
      <c r="M9" s="51"/>
    </row>
    <row r="10" spans="1:13">
      <c r="A10" s="53"/>
      <c r="B10" s="47"/>
      <c r="C10" s="48"/>
      <c r="D10" s="38"/>
      <c r="E10" s="39"/>
      <c r="F10" s="39"/>
      <c r="G10" s="40"/>
      <c r="H10" s="38"/>
      <c r="I10" s="39"/>
      <c r="J10" s="39"/>
      <c r="K10" s="40"/>
      <c r="L10" s="51"/>
      <c r="M10" s="51"/>
    </row>
    <row r="11" spans="1:13" ht="15" customHeight="1">
      <c r="A11" s="53"/>
      <c r="B11" s="47"/>
      <c r="C11" s="48"/>
      <c r="D11" s="29" t="s">
        <v>37</v>
      </c>
      <c r="E11" s="30"/>
      <c r="F11" s="30"/>
      <c r="G11" s="31"/>
      <c r="H11" s="29" t="s">
        <v>38</v>
      </c>
      <c r="I11" s="30"/>
      <c r="J11" s="30"/>
      <c r="K11" s="31"/>
      <c r="L11" s="51" t="s">
        <v>47</v>
      </c>
      <c r="M11" s="51"/>
    </row>
    <row r="12" spans="1:13">
      <c r="A12" s="53"/>
      <c r="B12" s="47"/>
      <c r="C12" s="48"/>
      <c r="D12" s="32"/>
      <c r="E12" s="33"/>
      <c r="F12" s="33"/>
      <c r="G12" s="34"/>
      <c r="H12" s="41" t="s">
        <v>31</v>
      </c>
      <c r="I12" s="41"/>
      <c r="J12" s="41"/>
      <c r="K12" s="42"/>
      <c r="L12" s="51"/>
      <c r="M12" s="51"/>
    </row>
    <row r="13" spans="1:13">
      <c r="A13" s="53"/>
      <c r="B13" s="47"/>
      <c r="C13" s="48"/>
      <c r="D13" s="35"/>
      <c r="E13" s="36"/>
      <c r="F13" s="36"/>
      <c r="G13" s="37"/>
      <c r="H13" s="41"/>
      <c r="I13" s="41"/>
      <c r="J13" s="41"/>
      <c r="K13" s="42"/>
      <c r="L13" s="51"/>
      <c r="M13" s="51"/>
    </row>
    <row r="14" spans="1:13">
      <c r="A14" s="53"/>
      <c r="B14" s="47"/>
      <c r="C14" s="48"/>
      <c r="D14" s="35"/>
      <c r="E14" s="36"/>
      <c r="F14" s="36"/>
      <c r="G14" s="37"/>
      <c r="H14" s="41"/>
      <c r="I14" s="41"/>
      <c r="J14" s="41"/>
      <c r="K14" s="42"/>
      <c r="L14" s="51"/>
      <c r="M14" s="51"/>
    </row>
    <row r="15" spans="1:13">
      <c r="A15" s="53"/>
      <c r="B15" s="47"/>
      <c r="C15" s="48"/>
      <c r="D15" s="38"/>
      <c r="E15" s="39"/>
      <c r="F15" s="39"/>
      <c r="G15" s="40"/>
      <c r="H15" s="43"/>
      <c r="I15" s="43"/>
      <c r="J15" s="43"/>
      <c r="K15" s="44"/>
      <c r="L15" s="51"/>
      <c r="M15" s="51"/>
    </row>
    <row r="16" spans="1:13" ht="15" customHeight="1">
      <c r="A16" s="53"/>
      <c r="B16" s="47"/>
      <c r="C16" s="48"/>
      <c r="D16" s="29" t="s">
        <v>37</v>
      </c>
      <c r="E16" s="30"/>
      <c r="F16" s="30"/>
      <c r="G16" s="31"/>
      <c r="H16" s="29" t="s">
        <v>38</v>
      </c>
      <c r="I16" s="30"/>
      <c r="J16" s="30"/>
      <c r="K16" s="31"/>
      <c r="L16" s="51" t="s">
        <v>49</v>
      </c>
      <c r="M16" s="51"/>
    </row>
    <row r="17" spans="1:13">
      <c r="A17" s="53"/>
      <c r="B17" s="47"/>
      <c r="C17" s="48"/>
      <c r="D17" s="32"/>
      <c r="E17" s="33"/>
      <c r="F17" s="33"/>
      <c r="G17" s="34"/>
      <c r="H17" s="41"/>
      <c r="I17" s="41"/>
      <c r="J17" s="41"/>
      <c r="K17" s="42"/>
      <c r="L17" s="51"/>
      <c r="M17" s="51"/>
    </row>
    <row r="18" spans="1:13">
      <c r="A18" s="53"/>
      <c r="B18" s="47"/>
      <c r="C18" s="48"/>
      <c r="D18" s="35"/>
      <c r="E18" s="36"/>
      <c r="F18" s="36"/>
      <c r="G18" s="37"/>
      <c r="H18" s="41"/>
      <c r="I18" s="41"/>
      <c r="J18" s="41"/>
      <c r="K18" s="42"/>
      <c r="L18" s="51"/>
      <c r="M18" s="51"/>
    </row>
    <row r="19" spans="1:13">
      <c r="A19" s="53"/>
      <c r="B19" s="47"/>
      <c r="C19" s="48"/>
      <c r="D19" s="35"/>
      <c r="E19" s="36"/>
      <c r="F19" s="36"/>
      <c r="G19" s="37"/>
      <c r="H19" s="41"/>
      <c r="I19" s="41"/>
      <c r="J19" s="41"/>
      <c r="K19" s="42"/>
      <c r="L19" s="51"/>
      <c r="M19" s="51"/>
    </row>
    <row r="20" spans="1:13">
      <c r="A20" s="53"/>
      <c r="B20" s="47"/>
      <c r="C20" s="48"/>
      <c r="D20" s="38"/>
      <c r="E20" s="39"/>
      <c r="F20" s="39"/>
      <c r="G20" s="40"/>
      <c r="H20" s="43"/>
      <c r="I20" s="43"/>
      <c r="J20" s="43"/>
      <c r="K20" s="44"/>
      <c r="L20" s="51"/>
      <c r="M20" s="51"/>
    </row>
    <row r="21" spans="1:13" ht="15" customHeight="1">
      <c r="A21" s="53"/>
      <c r="B21" s="47"/>
      <c r="C21" s="48"/>
      <c r="D21" s="29" t="s">
        <v>37</v>
      </c>
      <c r="E21" s="30"/>
      <c r="F21" s="30"/>
      <c r="G21" s="31"/>
      <c r="H21" s="29" t="s">
        <v>38</v>
      </c>
      <c r="I21" s="30"/>
      <c r="J21" s="30"/>
      <c r="K21" s="31"/>
      <c r="L21" s="51" t="s">
        <v>48</v>
      </c>
      <c r="M21" s="51"/>
    </row>
    <row r="22" spans="1:13">
      <c r="A22" s="53"/>
      <c r="B22" s="47"/>
      <c r="C22" s="48"/>
      <c r="D22" s="32"/>
      <c r="E22" s="33"/>
      <c r="F22" s="33"/>
      <c r="G22" s="34"/>
      <c r="H22" s="41" t="s">
        <v>31</v>
      </c>
      <c r="I22" s="41"/>
      <c r="J22" s="41"/>
      <c r="K22" s="42"/>
      <c r="L22" s="51"/>
      <c r="M22" s="51"/>
    </row>
    <row r="23" spans="1:13">
      <c r="A23" s="53"/>
      <c r="B23" s="47"/>
      <c r="C23" s="48"/>
      <c r="D23" s="35"/>
      <c r="E23" s="36"/>
      <c r="F23" s="36"/>
      <c r="G23" s="37"/>
      <c r="H23" s="41"/>
      <c r="I23" s="41"/>
      <c r="J23" s="41"/>
      <c r="K23" s="42"/>
      <c r="L23" s="51"/>
      <c r="M23" s="51"/>
    </row>
    <row r="24" spans="1:13">
      <c r="A24" s="53"/>
      <c r="B24" s="47"/>
      <c r="C24" s="48"/>
      <c r="D24" s="35"/>
      <c r="E24" s="36"/>
      <c r="F24" s="36"/>
      <c r="G24" s="37"/>
      <c r="H24" s="41"/>
      <c r="I24" s="41"/>
      <c r="J24" s="41"/>
      <c r="K24" s="42"/>
      <c r="L24" s="51"/>
      <c r="M24" s="51"/>
    </row>
    <row r="25" spans="1:13">
      <c r="A25" s="54"/>
      <c r="B25" s="49"/>
      <c r="C25" s="50"/>
      <c r="D25" s="38"/>
      <c r="E25" s="39"/>
      <c r="F25" s="39"/>
      <c r="G25" s="40"/>
      <c r="H25" s="43"/>
      <c r="I25" s="43"/>
      <c r="J25" s="43"/>
      <c r="K25" s="44"/>
      <c r="L25" s="51"/>
      <c r="M25" s="51"/>
    </row>
    <row r="26" spans="1:13">
      <c r="A26" s="27" t="s">
        <v>46</v>
      </c>
    </row>
    <row r="28" spans="1:13">
      <c r="A28" s="27" t="s">
        <v>34</v>
      </c>
      <c r="B28" s="55" t="s">
        <v>81</v>
      </c>
      <c r="C28" s="55"/>
    </row>
    <row r="29" spans="1:13">
      <c r="A29" s="27" t="s">
        <v>35</v>
      </c>
      <c r="B29" s="10"/>
      <c r="C29" s="11"/>
      <c r="G29" s="15"/>
      <c r="H29" s="28"/>
      <c r="I29" s="28"/>
      <c r="J29" s="28"/>
    </row>
    <row r="30" spans="1:13">
      <c r="G30" s="28"/>
      <c r="H30" s="28"/>
      <c r="I30" s="20"/>
      <c r="J30" s="22"/>
    </row>
    <row r="31" spans="1:13">
      <c r="A31" s="1" t="s">
        <v>0</v>
      </c>
      <c r="B31" s="7">
        <v>1.1200000000000001</v>
      </c>
    </row>
    <row r="32" spans="1:13">
      <c r="A32" s="1" t="s">
        <v>1</v>
      </c>
      <c r="B32" s="7">
        <v>260730</v>
      </c>
      <c r="C32" s="27" t="s">
        <v>2</v>
      </c>
      <c r="D32" s="27" t="s">
        <v>3</v>
      </c>
    </row>
    <row r="33" spans="1:4">
      <c r="A33" s="1" t="s">
        <v>4</v>
      </c>
      <c r="B33" s="7">
        <v>54</v>
      </c>
      <c r="C33" s="27" t="s">
        <v>12</v>
      </c>
      <c r="D33" s="27" t="s">
        <v>5</v>
      </c>
    </row>
    <row r="34" spans="1:4">
      <c r="A34" s="1" t="s">
        <v>82</v>
      </c>
      <c r="B34" s="7">
        <v>29.27</v>
      </c>
      <c r="D34" s="27" t="s">
        <v>7</v>
      </c>
    </row>
    <row r="35" spans="1:4">
      <c r="A35" s="1" t="s">
        <v>8</v>
      </c>
      <c r="B35" s="7">
        <v>789</v>
      </c>
      <c r="C35" s="27" t="s">
        <v>9</v>
      </c>
      <c r="D35" s="27" t="s">
        <v>10</v>
      </c>
    </row>
    <row r="36" spans="1:4">
      <c r="A36" s="1"/>
      <c r="B36" s="7"/>
    </row>
    <row r="37" spans="1:4">
      <c r="A37" s="1" t="s">
        <v>11</v>
      </c>
      <c r="B37" s="7">
        <v>8.5</v>
      </c>
      <c r="C37" s="27" t="s">
        <v>12</v>
      </c>
      <c r="D37" s="27" t="s">
        <v>13</v>
      </c>
    </row>
    <row r="38" spans="1:4">
      <c r="A38" s="1" t="s">
        <v>14</v>
      </c>
      <c r="B38" s="7">
        <v>1</v>
      </c>
      <c r="D38" s="27" t="s">
        <v>15</v>
      </c>
    </row>
    <row r="39" spans="1:4">
      <c r="A39" s="1"/>
      <c r="B39" s="7"/>
    </row>
    <row r="40" spans="1:4">
      <c r="A40" s="1" t="s">
        <v>16</v>
      </c>
      <c r="B40" s="7">
        <v>80</v>
      </c>
      <c r="C40" s="27" t="s">
        <v>17</v>
      </c>
      <c r="D40" s="27" t="s">
        <v>18</v>
      </c>
    </row>
    <row r="41" spans="1:4">
      <c r="A41" s="1" t="s">
        <v>19</v>
      </c>
      <c r="B41" s="7">
        <v>8.5</v>
      </c>
      <c r="C41" s="27" t="s">
        <v>17</v>
      </c>
      <c r="D41" s="27" t="s">
        <v>20</v>
      </c>
    </row>
    <row r="42" spans="1:4">
      <c r="A42" s="1"/>
      <c r="B42" s="7"/>
    </row>
    <row r="43" spans="1:4">
      <c r="A43" s="1" t="s">
        <v>21</v>
      </c>
      <c r="B43" s="7">
        <v>2.5</v>
      </c>
      <c r="C43" s="27" t="s">
        <v>17</v>
      </c>
    </row>
    <row r="45" spans="1:4">
      <c r="B45" s="27" t="s">
        <v>22</v>
      </c>
      <c r="C45" s="27">
        <f>(B34)+(B37/2)+B38</f>
        <v>34.519999999999996</v>
      </c>
    </row>
    <row r="46" spans="1:4">
      <c r="B46" s="27" t="s">
        <v>23</v>
      </c>
      <c r="C46" s="18">
        <f>B31*(B32+B35*C45^2)</f>
        <v>1345037.5518719999</v>
      </c>
    </row>
    <row r="48" spans="1:4">
      <c r="A48" s="2" t="s">
        <v>24</v>
      </c>
    </row>
    <row r="49" spans="1:12" ht="15.75" thickBot="1">
      <c r="A49" s="3" t="s">
        <v>25</v>
      </c>
    </row>
    <row r="50" spans="1:12" ht="15.75" thickBot="1">
      <c r="A50" s="27" t="s">
        <v>50</v>
      </c>
      <c r="B50" s="4" t="s">
        <v>26</v>
      </c>
      <c r="C50" s="27">
        <v>7.4999999999999997E-2</v>
      </c>
      <c r="D50" s="17">
        <f>(B41/9.5)^0.6</f>
        <v>0.93544270443946964</v>
      </c>
      <c r="E50" s="17">
        <f>(B41/B40)^0.2</f>
        <v>0.63865422229376989</v>
      </c>
      <c r="F50" s="17">
        <f>(C46/(12*B40*B37^3))^0.1</f>
        <v>1.0859770313610992</v>
      </c>
      <c r="G50" s="8">
        <f>C50+D50*E50*F50</f>
        <v>0.72378921210785907</v>
      </c>
      <c r="H50" s="27" t="s">
        <v>27</v>
      </c>
    </row>
    <row r="51" spans="1:12" ht="15.75" thickBot="1">
      <c r="A51" s="27" t="s">
        <v>28</v>
      </c>
      <c r="B51" s="4" t="s">
        <v>26</v>
      </c>
      <c r="C51" s="27">
        <v>0.06</v>
      </c>
      <c r="D51" s="17">
        <f>(B41/14)^0.4</f>
        <v>0.81906120507698477</v>
      </c>
      <c r="E51" s="17">
        <f>(B41/B40)^0.3</f>
        <v>0.51038591601167937</v>
      </c>
      <c r="F51" s="17">
        <f>(C46/(12*B40*B37^3))^0.1</f>
        <v>1.0859770313610992</v>
      </c>
      <c r="G51" s="5">
        <f>C51+D51*E51*F51</f>
        <v>0.51397890976934235</v>
      </c>
      <c r="H51" s="27" t="s">
        <v>27</v>
      </c>
    </row>
    <row r="52" spans="1:12" ht="15.75" thickBot="1">
      <c r="A52" s="3" t="s">
        <v>29</v>
      </c>
      <c r="G52" s="6"/>
    </row>
    <row r="53" spans="1:12" ht="15.75" thickBot="1">
      <c r="A53" s="27" t="s">
        <v>50</v>
      </c>
      <c r="C53" s="27" t="s">
        <v>30</v>
      </c>
      <c r="D53" s="27">
        <f>0.77 +(B43/9.1)</f>
        <v>1.0447252747252747</v>
      </c>
      <c r="E53" s="4" t="s">
        <v>26</v>
      </c>
      <c r="F53" s="8">
        <f>D53*G50</f>
        <v>0.75616088346257315</v>
      </c>
      <c r="G53" s="27" t="s">
        <v>27</v>
      </c>
    </row>
    <row r="54" spans="1:12" ht="15.75" thickBot="1">
      <c r="A54" s="27" t="s">
        <v>28</v>
      </c>
      <c r="C54" s="27" t="s">
        <v>31</v>
      </c>
      <c r="F54" s="5">
        <f>1.2*($B$41+$B$43-2)/(2*$B$41)</f>
        <v>0.63529411764705879</v>
      </c>
      <c r="G54" s="27" t="s">
        <v>27</v>
      </c>
    </row>
    <row r="56" spans="1:12">
      <c r="A56" s="2" t="s">
        <v>32</v>
      </c>
    </row>
    <row r="57" spans="1:12" ht="15.75" thickBot="1">
      <c r="A57" s="3" t="s">
        <v>25</v>
      </c>
    </row>
    <row r="58" spans="1:12" ht="15.75" thickBot="1">
      <c r="A58" s="27" t="s">
        <v>50</v>
      </c>
      <c r="C58" s="27">
        <v>0.2</v>
      </c>
      <c r="D58" s="17">
        <f>B41/12</f>
        <v>0.70833333333333337</v>
      </c>
      <c r="E58" s="17">
        <f>(B41/35)^2</f>
        <v>5.8979591836734693E-2</v>
      </c>
      <c r="F58" s="9">
        <f>C58+D58-E58</f>
        <v>0.8493537414965987</v>
      </c>
      <c r="G58" s="27" t="s">
        <v>27</v>
      </c>
    </row>
    <row r="59" spans="1:12" ht="15.75" thickBot="1">
      <c r="A59" s="27" t="s">
        <v>28</v>
      </c>
      <c r="C59" s="27">
        <v>0.36</v>
      </c>
      <c r="D59" s="17">
        <f>B41/25</f>
        <v>0.34</v>
      </c>
      <c r="E59" s="5">
        <f>C59+D59</f>
        <v>0.7</v>
      </c>
      <c r="F59" s="26">
        <f>C59+D59-E59</f>
        <v>0</v>
      </c>
      <c r="G59" s="27" t="s">
        <v>27</v>
      </c>
    </row>
    <row r="60" spans="1:12" ht="15.75" thickBot="1">
      <c r="A60" s="3" t="s">
        <v>29</v>
      </c>
    </row>
    <row r="61" spans="1:12" ht="15.75" thickBot="1">
      <c r="A61" s="27" t="s">
        <v>50</v>
      </c>
      <c r="C61" s="27" t="s">
        <v>33</v>
      </c>
      <c r="D61" s="27">
        <f>0.6+(B43/10)</f>
        <v>0.85</v>
      </c>
      <c r="E61" s="27" t="s">
        <v>26</v>
      </c>
      <c r="F61" s="9">
        <f>D61*F58</f>
        <v>0.72195068027210885</v>
      </c>
      <c r="G61" s="27" t="s">
        <v>27</v>
      </c>
    </row>
    <row r="62" spans="1:12" ht="15.75" thickBot="1">
      <c r="A62" s="27" t="s">
        <v>28</v>
      </c>
      <c r="C62" s="27" t="s">
        <v>31</v>
      </c>
      <c r="F62" s="5">
        <f>1.2*($B$41+$B$43-2)/(2*$B$41)</f>
        <v>0.63529411764705879</v>
      </c>
      <c r="G62" s="27" t="s">
        <v>27</v>
      </c>
    </row>
    <row r="63" spans="1:1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</sheetData>
  <mergeCells count="24">
    <mergeCell ref="A6:A25"/>
    <mergeCell ref="B6:C6"/>
    <mergeCell ref="D6:G6"/>
    <mergeCell ref="H6:K6"/>
    <mergeCell ref="L6:M10"/>
    <mergeCell ref="B7:C25"/>
    <mergeCell ref="D7:G10"/>
    <mergeCell ref="H7:K10"/>
    <mergeCell ref="D11:G11"/>
    <mergeCell ref="H11:K11"/>
    <mergeCell ref="B28:C28"/>
    <mergeCell ref="L11:M15"/>
    <mergeCell ref="D12:G15"/>
    <mergeCell ref="H12:K15"/>
    <mergeCell ref="D16:G16"/>
    <mergeCell ref="H16:K16"/>
    <mergeCell ref="L16:M20"/>
    <mergeCell ref="D17:G20"/>
    <mergeCell ref="H17:K20"/>
    <mergeCell ref="D21:G21"/>
    <mergeCell ref="H21:K21"/>
    <mergeCell ref="L21:M25"/>
    <mergeCell ref="D22:G25"/>
    <mergeCell ref="H22:K25"/>
  </mergeCells>
  <pageMargins left="0.7" right="0.7" top="0.75" bottom="0.75" header="0.3" footer="0.3"/>
  <pageSetup scale="73" orientation="portrait" r:id="rId1"/>
  <legacyDrawing r:id="rId2"/>
  <oleObjects>
    <oleObject progId="Equation.3" shapeId="5121" r:id="rId3"/>
    <oleObject progId="Equation.3" shapeId="5122" r:id="rId4"/>
    <oleObject progId="Equation.3" shapeId="5124" r:id="rId5"/>
    <oleObject progId="Equation.3" shapeId="5125" r:id="rId6"/>
    <oleObject progId="Equation.3" shapeId="5126" r:id="rId7"/>
    <oleObject progId="Equation.3" shapeId="5127" r:id="rId8"/>
    <oleObject progId="PBrush" shapeId="5128" r:id="rId9"/>
    <oleObject progId="PBrush" shapeId="5129" r:id="rId10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M67"/>
  <sheetViews>
    <sheetView topLeftCell="A43" zoomScaleNormal="100" workbookViewId="0">
      <selection activeCell="K71" sqref="K71"/>
    </sheetView>
  </sheetViews>
  <sheetFormatPr defaultRowHeight="15"/>
  <cols>
    <col min="1" max="1" width="29.28515625" style="27" bestFit="1" customWidth="1"/>
    <col min="2" max="2" width="9.42578125" style="27" customWidth="1"/>
    <col min="3" max="5" width="12" style="27" bestFit="1" customWidth="1"/>
    <col min="6" max="6" width="12.5703125" style="27" bestFit="1" customWidth="1"/>
    <col min="7" max="7" width="12" style="27" bestFit="1" customWidth="1"/>
    <col min="8" max="16384" width="9.140625" style="27"/>
  </cols>
  <sheetData>
    <row r="1" spans="1:13" ht="18.75">
      <c r="A1" s="13" t="s">
        <v>54</v>
      </c>
    </row>
    <row r="3" spans="1:13">
      <c r="A3" s="27" t="s">
        <v>41</v>
      </c>
      <c r="B3" s="27" t="s">
        <v>55</v>
      </c>
    </row>
    <row r="4" spans="1:13">
      <c r="A4" s="27" t="s">
        <v>42</v>
      </c>
      <c r="B4" s="27" t="s">
        <v>56</v>
      </c>
    </row>
    <row r="6" spans="1:13" ht="15" customHeight="1">
      <c r="A6" s="56"/>
      <c r="B6" s="56" t="s">
        <v>40</v>
      </c>
      <c r="C6" s="56"/>
      <c r="D6" s="57" t="s">
        <v>37</v>
      </c>
      <c r="E6" s="57"/>
      <c r="F6" s="57"/>
      <c r="G6" s="57"/>
      <c r="H6" s="57" t="s">
        <v>38</v>
      </c>
      <c r="I6" s="57"/>
      <c r="J6" s="57"/>
      <c r="K6" s="57"/>
      <c r="L6" s="51" t="s">
        <v>45</v>
      </c>
      <c r="M6" s="51"/>
    </row>
    <row r="7" spans="1:13" ht="15" customHeight="1">
      <c r="A7" s="56"/>
      <c r="B7" s="58" t="s">
        <v>39</v>
      </c>
      <c r="C7" s="58"/>
      <c r="D7" s="56"/>
      <c r="E7" s="56"/>
      <c r="F7" s="56"/>
      <c r="G7" s="56"/>
      <c r="H7" s="56"/>
      <c r="I7" s="56"/>
      <c r="J7" s="56"/>
      <c r="K7" s="56"/>
      <c r="L7" s="51"/>
      <c r="M7" s="51"/>
    </row>
    <row r="8" spans="1:13">
      <c r="A8" s="56"/>
      <c r="B8" s="58"/>
      <c r="C8" s="58"/>
      <c r="D8" s="56"/>
      <c r="E8" s="56"/>
      <c r="F8" s="56"/>
      <c r="G8" s="56"/>
      <c r="H8" s="56"/>
      <c r="I8" s="56"/>
      <c r="J8" s="56"/>
      <c r="K8" s="56"/>
      <c r="L8" s="51"/>
      <c r="M8" s="51"/>
    </row>
    <row r="9" spans="1:13">
      <c r="A9" s="56"/>
      <c r="B9" s="58"/>
      <c r="C9" s="58"/>
      <c r="D9" s="56"/>
      <c r="E9" s="56"/>
      <c r="F9" s="56"/>
      <c r="G9" s="56"/>
      <c r="H9" s="56"/>
      <c r="I9" s="56"/>
      <c r="J9" s="56"/>
      <c r="K9" s="56"/>
      <c r="L9" s="51"/>
      <c r="M9" s="51"/>
    </row>
    <row r="10" spans="1:13">
      <c r="A10" s="56"/>
      <c r="B10" s="58"/>
      <c r="C10" s="58"/>
      <c r="D10" s="56"/>
      <c r="E10" s="56"/>
      <c r="F10" s="56"/>
      <c r="G10" s="56"/>
      <c r="H10" s="56"/>
      <c r="I10" s="56"/>
      <c r="J10" s="56"/>
      <c r="K10" s="56"/>
      <c r="L10" s="51"/>
      <c r="M10" s="51"/>
    </row>
    <row r="11" spans="1:13" ht="15" customHeight="1">
      <c r="A11" s="56"/>
      <c r="B11" s="58"/>
      <c r="C11" s="58"/>
      <c r="D11" s="57" t="s">
        <v>37</v>
      </c>
      <c r="E11" s="57"/>
      <c r="F11" s="57"/>
      <c r="G11" s="57"/>
      <c r="H11" s="57" t="s">
        <v>38</v>
      </c>
      <c r="I11" s="57"/>
      <c r="J11" s="57"/>
      <c r="K11" s="57"/>
      <c r="L11" s="51" t="s">
        <v>47</v>
      </c>
      <c r="M11" s="51"/>
    </row>
    <row r="12" spans="1:13">
      <c r="A12" s="56"/>
      <c r="B12" s="58"/>
      <c r="C12" s="58"/>
      <c r="D12" s="56"/>
      <c r="E12" s="56"/>
      <c r="F12" s="56"/>
      <c r="G12" s="56"/>
      <c r="H12" s="60"/>
      <c r="I12" s="60"/>
      <c r="J12" s="60"/>
      <c r="K12" s="60"/>
      <c r="L12" s="51"/>
      <c r="M12" s="51"/>
    </row>
    <row r="13" spans="1:13">
      <c r="A13" s="56"/>
      <c r="B13" s="58"/>
      <c r="C13" s="58"/>
      <c r="D13" s="56"/>
      <c r="E13" s="56"/>
      <c r="F13" s="56"/>
      <c r="G13" s="56"/>
      <c r="H13" s="60"/>
      <c r="I13" s="60"/>
      <c r="J13" s="60"/>
      <c r="K13" s="60"/>
      <c r="L13" s="51"/>
      <c r="M13" s="51"/>
    </row>
    <row r="14" spans="1:13">
      <c r="A14" s="56"/>
      <c r="B14" s="58"/>
      <c r="C14" s="58"/>
      <c r="D14" s="56"/>
      <c r="E14" s="56"/>
      <c r="F14" s="56"/>
      <c r="G14" s="56"/>
      <c r="H14" s="60"/>
      <c r="I14" s="60"/>
      <c r="J14" s="60"/>
      <c r="K14" s="60"/>
      <c r="L14" s="51"/>
      <c r="M14" s="51"/>
    </row>
    <row r="15" spans="1:13">
      <c r="A15" s="56"/>
      <c r="B15" s="58"/>
      <c r="C15" s="58"/>
      <c r="D15" s="56"/>
      <c r="E15" s="56"/>
      <c r="F15" s="56"/>
      <c r="G15" s="56"/>
      <c r="H15" s="60"/>
      <c r="I15" s="60"/>
      <c r="J15" s="60"/>
      <c r="K15" s="60"/>
      <c r="L15" s="51"/>
      <c r="M15" s="51"/>
    </row>
    <row r="16" spans="1:13" ht="15" customHeight="1">
      <c r="A16" s="56"/>
      <c r="B16" s="58"/>
      <c r="C16" s="58"/>
      <c r="D16" s="57" t="s">
        <v>37</v>
      </c>
      <c r="E16" s="57"/>
      <c r="F16" s="57"/>
      <c r="G16" s="57"/>
      <c r="H16" s="57" t="s">
        <v>38</v>
      </c>
      <c r="I16" s="57"/>
      <c r="J16" s="57"/>
      <c r="K16" s="57"/>
      <c r="L16" s="51" t="s">
        <v>49</v>
      </c>
      <c r="M16" s="51"/>
    </row>
    <row r="17" spans="1:13">
      <c r="A17" s="56"/>
      <c r="B17" s="58"/>
      <c r="C17" s="58"/>
      <c r="D17" s="56"/>
      <c r="E17" s="56"/>
      <c r="F17" s="56"/>
      <c r="G17" s="56"/>
      <c r="H17" s="60"/>
      <c r="I17" s="60"/>
      <c r="J17" s="60"/>
      <c r="K17" s="60"/>
      <c r="L17" s="51"/>
      <c r="M17" s="51"/>
    </row>
    <row r="18" spans="1:13">
      <c r="A18" s="56"/>
      <c r="B18" s="58"/>
      <c r="C18" s="58"/>
      <c r="D18" s="56"/>
      <c r="E18" s="56"/>
      <c r="F18" s="56"/>
      <c r="G18" s="56"/>
      <c r="H18" s="60"/>
      <c r="I18" s="60"/>
      <c r="J18" s="60"/>
      <c r="K18" s="60"/>
      <c r="L18" s="51"/>
      <c r="M18" s="51"/>
    </row>
    <row r="19" spans="1:13">
      <c r="A19" s="56"/>
      <c r="B19" s="58"/>
      <c r="C19" s="58"/>
      <c r="D19" s="56"/>
      <c r="E19" s="56"/>
      <c r="F19" s="56"/>
      <c r="G19" s="56"/>
      <c r="H19" s="60"/>
      <c r="I19" s="60"/>
      <c r="J19" s="60"/>
      <c r="K19" s="60"/>
      <c r="L19" s="51"/>
      <c r="M19" s="51"/>
    </row>
    <row r="20" spans="1:13">
      <c r="A20" s="56"/>
      <c r="B20" s="58"/>
      <c r="C20" s="58"/>
      <c r="D20" s="56"/>
      <c r="E20" s="56"/>
      <c r="F20" s="56"/>
      <c r="G20" s="56"/>
      <c r="H20" s="60"/>
      <c r="I20" s="60"/>
      <c r="J20" s="60"/>
      <c r="K20" s="60"/>
      <c r="L20" s="51"/>
      <c r="M20" s="51"/>
    </row>
    <row r="21" spans="1:13" ht="15" customHeight="1">
      <c r="A21" s="56"/>
      <c r="B21" s="58"/>
      <c r="C21" s="58"/>
      <c r="D21" s="57" t="s">
        <v>37</v>
      </c>
      <c r="E21" s="57"/>
      <c r="F21" s="57"/>
      <c r="G21" s="57"/>
      <c r="H21" s="57" t="s">
        <v>38</v>
      </c>
      <c r="I21" s="57"/>
      <c r="J21" s="57"/>
      <c r="K21" s="57"/>
      <c r="L21" s="51" t="s">
        <v>48</v>
      </c>
      <c r="M21" s="51"/>
    </row>
    <row r="22" spans="1:13">
      <c r="A22" s="56"/>
      <c r="B22" s="58"/>
      <c r="C22" s="58"/>
      <c r="D22" s="56"/>
      <c r="E22" s="56"/>
      <c r="F22" s="56"/>
      <c r="G22" s="56"/>
      <c r="H22" s="60"/>
      <c r="I22" s="60"/>
      <c r="J22" s="60"/>
      <c r="K22" s="60"/>
      <c r="L22" s="51"/>
      <c r="M22" s="51"/>
    </row>
    <row r="23" spans="1:13">
      <c r="A23" s="56"/>
      <c r="B23" s="58"/>
      <c r="C23" s="58"/>
      <c r="D23" s="56"/>
      <c r="E23" s="56"/>
      <c r="F23" s="56"/>
      <c r="G23" s="56"/>
      <c r="H23" s="60"/>
      <c r="I23" s="60"/>
      <c r="J23" s="60"/>
      <c r="K23" s="60"/>
      <c r="L23" s="51"/>
      <c r="M23" s="51"/>
    </row>
    <row r="24" spans="1:13">
      <c r="A24" s="56"/>
      <c r="B24" s="58"/>
      <c r="C24" s="58"/>
      <c r="D24" s="56"/>
      <c r="E24" s="56"/>
      <c r="F24" s="56"/>
      <c r="G24" s="56"/>
      <c r="H24" s="60"/>
      <c r="I24" s="60"/>
      <c r="J24" s="60"/>
      <c r="K24" s="60"/>
      <c r="L24" s="51"/>
      <c r="M24" s="51"/>
    </row>
    <row r="25" spans="1:13">
      <c r="A25" s="56"/>
      <c r="B25" s="58"/>
      <c r="C25" s="58"/>
      <c r="D25" s="56"/>
      <c r="E25" s="56"/>
      <c r="F25" s="56"/>
      <c r="G25" s="56"/>
      <c r="H25" s="60"/>
      <c r="I25" s="60"/>
      <c r="J25" s="60"/>
      <c r="K25" s="60"/>
      <c r="L25" s="51"/>
      <c r="M25" s="51"/>
    </row>
    <row r="26" spans="1:13">
      <c r="A26" s="56"/>
      <c r="B26" s="58"/>
      <c r="C26" s="58"/>
      <c r="D26" s="56"/>
      <c r="E26" s="56"/>
      <c r="F26" s="56"/>
      <c r="G26" s="56"/>
      <c r="H26" s="60"/>
      <c r="I26" s="60"/>
      <c r="J26" s="60"/>
      <c r="K26" s="60"/>
      <c r="L26" s="51"/>
      <c r="M26" s="51"/>
    </row>
    <row r="27" spans="1:13">
      <c r="A27" s="56"/>
      <c r="B27" s="58"/>
      <c r="C27" s="58"/>
      <c r="D27" s="56"/>
      <c r="E27" s="56"/>
      <c r="F27" s="56"/>
      <c r="G27" s="56"/>
      <c r="H27" s="60"/>
      <c r="I27" s="60"/>
      <c r="J27" s="60"/>
      <c r="K27" s="60"/>
      <c r="L27" s="51"/>
      <c r="M27" s="51"/>
    </row>
    <row r="28" spans="1:13">
      <c r="A28" s="56"/>
      <c r="B28" s="58"/>
      <c r="C28" s="58"/>
      <c r="D28" s="56"/>
      <c r="E28" s="56"/>
      <c r="F28" s="56"/>
      <c r="G28" s="56"/>
      <c r="H28" s="60"/>
      <c r="I28" s="60"/>
      <c r="J28" s="60"/>
      <c r="K28" s="60"/>
      <c r="L28" s="51"/>
      <c r="M28" s="51"/>
    </row>
    <row r="30" spans="1:13">
      <c r="A30" s="27" t="s">
        <v>34</v>
      </c>
      <c r="B30" s="55" t="s">
        <v>63</v>
      </c>
      <c r="C30" s="55"/>
    </row>
    <row r="31" spans="1:13">
      <c r="A31" s="27" t="s">
        <v>35</v>
      </c>
      <c r="B31" s="10"/>
      <c r="C31" s="11"/>
      <c r="G31" s="15"/>
      <c r="H31" s="28"/>
      <c r="I31" s="28"/>
      <c r="J31" s="28"/>
    </row>
    <row r="32" spans="1:13">
      <c r="G32" s="28"/>
      <c r="H32" s="28"/>
      <c r="I32" s="20"/>
      <c r="J32" s="22"/>
    </row>
    <row r="33" spans="1:5">
      <c r="A33" s="1"/>
      <c r="B33" s="25"/>
    </row>
    <row r="34" spans="1:5">
      <c r="A34" s="1" t="s">
        <v>1</v>
      </c>
      <c r="B34" s="7">
        <v>110499</v>
      </c>
      <c r="C34" s="27" t="s">
        <v>2</v>
      </c>
      <c r="D34" s="27" t="s">
        <v>64</v>
      </c>
    </row>
    <row r="35" spans="1:5">
      <c r="A35" s="1" t="s">
        <v>4</v>
      </c>
      <c r="B35" s="7">
        <v>33</v>
      </c>
      <c r="C35" s="27" t="s">
        <v>12</v>
      </c>
      <c r="D35" s="27" t="s">
        <v>65</v>
      </c>
    </row>
    <row r="36" spans="1:5">
      <c r="A36" s="1" t="s">
        <v>66</v>
      </c>
      <c r="B36" s="7">
        <v>48</v>
      </c>
      <c r="D36" s="27" t="s">
        <v>67</v>
      </c>
    </row>
    <row r="37" spans="1:5">
      <c r="A37" s="1" t="s">
        <v>68</v>
      </c>
      <c r="B37" s="7">
        <v>44.82</v>
      </c>
      <c r="C37" s="27" t="s">
        <v>9</v>
      </c>
    </row>
    <row r="38" spans="1:5">
      <c r="A38" s="1" t="s">
        <v>69</v>
      </c>
      <c r="B38" s="7"/>
    </row>
    <row r="39" spans="1:5">
      <c r="A39" s="1" t="s">
        <v>71</v>
      </c>
      <c r="B39" s="7">
        <v>5.5</v>
      </c>
      <c r="C39" s="27" t="s">
        <v>12</v>
      </c>
    </row>
    <row r="40" spans="1:5">
      <c r="A40" s="1" t="s">
        <v>70</v>
      </c>
      <c r="B40" s="7">
        <v>5.5</v>
      </c>
      <c r="C40" s="27" t="s">
        <v>12</v>
      </c>
    </row>
    <row r="41" spans="1:5">
      <c r="A41" s="1" t="s">
        <v>72</v>
      </c>
      <c r="B41" s="7">
        <v>5</v>
      </c>
      <c r="C41" s="27" t="s">
        <v>12</v>
      </c>
    </row>
    <row r="42" spans="1:5">
      <c r="A42" s="1" t="s">
        <v>16</v>
      </c>
      <c r="B42" s="7">
        <v>70</v>
      </c>
      <c r="C42" s="27" t="s">
        <v>17</v>
      </c>
      <c r="D42" s="27" t="s">
        <v>18</v>
      </c>
    </row>
    <row r="43" spans="1:5">
      <c r="A43" s="1" t="s">
        <v>21</v>
      </c>
      <c r="B43" s="7">
        <v>1</v>
      </c>
      <c r="C43" s="27" t="s">
        <v>17</v>
      </c>
    </row>
    <row r="44" spans="1:5">
      <c r="A44" s="1" t="s">
        <v>61</v>
      </c>
      <c r="B44" s="7">
        <v>12</v>
      </c>
    </row>
    <row r="45" spans="1:5">
      <c r="C45" s="59" t="s">
        <v>75</v>
      </c>
      <c r="D45" s="59" t="s">
        <v>28</v>
      </c>
      <c r="E45" s="61"/>
    </row>
    <row r="46" spans="1:5">
      <c r="A46" s="1" t="s">
        <v>73</v>
      </c>
      <c r="B46" s="27" t="s">
        <v>76</v>
      </c>
    </row>
    <row r="47" spans="1:5">
      <c r="A47" s="1" t="s">
        <v>74</v>
      </c>
      <c r="B47" s="27" t="s">
        <v>76</v>
      </c>
    </row>
    <row r="48" spans="1:5">
      <c r="A48" s="1"/>
      <c r="B48" s="27" t="s">
        <v>62</v>
      </c>
      <c r="C48" s="62">
        <f>IF(2.5*$B$44^-0.2&gt;=1.5,2.5*$B$44^-0.2,1.5)</f>
        <v>1.5209108547330144</v>
      </c>
    </row>
    <row r="49" spans="1:8" ht="18">
      <c r="B49" s="63" t="s">
        <v>77</v>
      </c>
      <c r="C49" s="62">
        <f>(B36-B41)*((B35-(B39+B40)/2))</f>
        <v>1182.5</v>
      </c>
    </row>
    <row r="50" spans="1:8">
      <c r="A50" s="1"/>
      <c r="B50" s="63" t="s">
        <v>78</v>
      </c>
      <c r="C50" s="62">
        <f>(4*C49*C49)/(((B36-B41)/B39)+((B36-B41)/B40)+((B35-B39)/B41)+((B35-B40)/B41))</f>
        <v>209984.55631399318</v>
      </c>
    </row>
    <row r="52" spans="1:8">
      <c r="A52" s="2" t="s">
        <v>24</v>
      </c>
    </row>
    <row r="53" spans="1:8" ht="15.75" thickBot="1">
      <c r="A53" s="3" t="s">
        <v>25</v>
      </c>
    </row>
    <row r="54" spans="1:8" ht="15.75" thickBot="1">
      <c r="A54" s="27" t="s">
        <v>50</v>
      </c>
      <c r="B54" s="4" t="s">
        <v>26</v>
      </c>
      <c r="C54" s="62">
        <f>C48</f>
        <v>1.5209108547330144</v>
      </c>
      <c r="D54" s="17">
        <f>(B36/305)^0.6</f>
        <v>0.32973484106990508</v>
      </c>
      <c r="E54" s="17">
        <f>(B36/(12*B42))^0.2</f>
        <v>0.56414713932208327</v>
      </c>
      <c r="F54" s="17">
        <f>(B34/C50)^0.06</f>
        <v>0.96221087175359266</v>
      </c>
      <c r="G54" s="8">
        <f>C54*D54*E54*F54</f>
        <v>0.27222703193050141</v>
      </c>
      <c r="H54" s="27" t="s">
        <v>27</v>
      </c>
    </row>
    <row r="55" spans="1:8" ht="15.75" thickBot="1">
      <c r="A55" s="27" t="s">
        <v>28</v>
      </c>
      <c r="B55" s="4" t="s">
        <v>26</v>
      </c>
      <c r="C55" s="62">
        <f>C48</f>
        <v>1.5209108547330144</v>
      </c>
      <c r="D55" s="17">
        <f>(B36/(33.3*B42))^0.5</f>
        <v>0.14349920066683505</v>
      </c>
      <c r="E55" s="17"/>
      <c r="F55" s="17">
        <f>(B34/C50)^0.25</f>
        <v>0.85171196472992738</v>
      </c>
      <c r="G55" s="26">
        <f>C55*D55*F55</f>
        <v>0.18588570358127071</v>
      </c>
      <c r="H55" s="27" t="s">
        <v>27</v>
      </c>
    </row>
    <row r="56" spans="1:8" ht="15.75" thickBot="1">
      <c r="A56" s="3" t="s">
        <v>29</v>
      </c>
      <c r="G56" s="6"/>
    </row>
    <row r="57" spans="1:8" ht="15.75" thickBot="1">
      <c r="A57" s="27" t="s">
        <v>50</v>
      </c>
      <c r="C57" s="27" t="s">
        <v>79</v>
      </c>
      <c r="D57" s="27">
        <f>IF(1.04+($B$43/25)&gt;=1,1.04+($B$43/25),1)</f>
        <v>1.08</v>
      </c>
      <c r="E57" s="4" t="s">
        <v>26</v>
      </c>
      <c r="F57" s="8">
        <f>D57*G54</f>
        <v>0.29400519448494156</v>
      </c>
      <c r="G57" s="27" t="s">
        <v>27</v>
      </c>
    </row>
    <row r="58" spans="1:8" ht="15.75" thickBot="1">
      <c r="A58" s="27" t="s">
        <v>28</v>
      </c>
      <c r="C58" s="27" t="s">
        <v>80</v>
      </c>
      <c r="D58" s="62">
        <f>IF(1.125+($B$43/30)&gt;=1,1.125+($B$43/30),1)</f>
        <v>1.1583333333333334</v>
      </c>
      <c r="E58" s="4" t="s">
        <v>26</v>
      </c>
      <c r="F58" s="26">
        <f>D58*G55</f>
        <v>0.21531760664830527</v>
      </c>
      <c r="G58" s="27" t="s">
        <v>27</v>
      </c>
    </row>
    <row r="60" spans="1:8">
      <c r="A60" s="2" t="s">
        <v>32</v>
      </c>
    </row>
    <row r="61" spans="1:8" ht="15.75" thickBot="1">
      <c r="A61" s="3" t="s">
        <v>25</v>
      </c>
    </row>
    <row r="62" spans="1:8" ht="15.75" thickBot="1">
      <c r="A62" s="27" t="s">
        <v>50</v>
      </c>
      <c r="B62" s="4" t="s">
        <v>26</v>
      </c>
      <c r="C62" s="17">
        <f>(B36/156)^0.4</f>
        <v>0.62408918350800413</v>
      </c>
      <c r="D62" s="17">
        <f>(B37/(12*B42))^0.1</f>
        <v>0.74596638333566023</v>
      </c>
      <c r="E62" s="17">
        <f>(B34/C50)^0.05</f>
        <v>0.96840840394997907</v>
      </c>
      <c r="F62" s="27">
        <f>B36/48</f>
        <v>1</v>
      </c>
      <c r="G62" s="9">
        <f>C62*D62*E62*F62</f>
        <v>0.45084209774073952</v>
      </c>
      <c r="H62" s="27" t="s">
        <v>27</v>
      </c>
    </row>
    <row r="63" spans="1:8" ht="15.75" thickBot="1">
      <c r="A63" s="27" t="s">
        <v>28</v>
      </c>
      <c r="B63" s="4" t="s">
        <v>26</v>
      </c>
      <c r="C63" s="62"/>
      <c r="D63" s="17">
        <f>(B36/(12*B42))^0.15</f>
        <v>0.65094499584066101</v>
      </c>
      <c r="E63" s="17">
        <f>(B34/C50)^0.05</f>
        <v>0.96840840394997907</v>
      </c>
      <c r="F63" s="17"/>
      <c r="G63" s="26">
        <f>D63*E63</f>
        <v>0.6303806044812803</v>
      </c>
      <c r="H63" s="27" t="s">
        <v>27</v>
      </c>
    </row>
    <row r="64" spans="1:8" ht="15.75" thickBot="1">
      <c r="A64" s="3" t="s">
        <v>29</v>
      </c>
    </row>
    <row r="65" spans="1:12" ht="15.75" thickBot="1">
      <c r="A65" s="27" t="s">
        <v>50</v>
      </c>
      <c r="C65" s="27" t="s">
        <v>79</v>
      </c>
      <c r="D65" s="62">
        <f>IF(1+(($B$43+($B$36/12)-2)/40)^0.5&gt;=1,1+(($B$43+($B$36/12)-2)/40)^0.5,1)</f>
        <v>1.2738612787525829</v>
      </c>
      <c r="E65" s="4" t="s">
        <v>26</v>
      </c>
      <c r="F65" s="9">
        <f>D65*G62</f>
        <v>0.57431029114351539</v>
      </c>
      <c r="G65" s="27" t="s">
        <v>27</v>
      </c>
    </row>
    <row r="66" spans="1:12" ht="15.75" thickBot="1">
      <c r="A66" s="27" t="s">
        <v>28</v>
      </c>
      <c r="C66" s="27" t="s">
        <v>84</v>
      </c>
      <c r="D66" s="62">
        <f>IF(1.25+($B$43/20)&gt;=1,1.25+($B$43/20),1)</f>
        <v>1.3</v>
      </c>
      <c r="E66" s="4" t="s">
        <v>26</v>
      </c>
      <c r="F66" s="26">
        <f>D66*G63</f>
        <v>0.81949478582566437</v>
      </c>
      <c r="G66" s="27" t="s">
        <v>27</v>
      </c>
    </row>
    <row r="67" spans="1:1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</row>
  </sheetData>
  <mergeCells count="24">
    <mergeCell ref="A6:A28"/>
    <mergeCell ref="L21:M28"/>
    <mergeCell ref="D21:G21"/>
    <mergeCell ref="H21:K21"/>
    <mergeCell ref="B30:C30"/>
    <mergeCell ref="D22:G28"/>
    <mergeCell ref="H22:K28"/>
    <mergeCell ref="B7:C28"/>
    <mergeCell ref="L11:M15"/>
    <mergeCell ref="D12:G15"/>
    <mergeCell ref="H12:K15"/>
    <mergeCell ref="D16:G16"/>
    <mergeCell ref="H16:K16"/>
    <mergeCell ref="L16:M20"/>
    <mergeCell ref="D17:G20"/>
    <mergeCell ref="H17:K20"/>
    <mergeCell ref="B6:C6"/>
    <mergeCell ref="D6:G6"/>
    <mergeCell ref="H6:K6"/>
    <mergeCell ref="L6:M10"/>
    <mergeCell ref="D7:G10"/>
    <mergeCell ref="H7:K10"/>
    <mergeCell ref="D11:G11"/>
    <mergeCell ref="H11:K11"/>
  </mergeCells>
  <pageMargins left="0.7" right="0.7" top="0.75" bottom="0.75" header="0.3" footer="0.3"/>
  <pageSetup scale="73" orientation="portrait" r:id="rId1"/>
  <legacyDrawing r:id="rId2"/>
  <oleObjects>
    <oleObject progId="PBrush" shapeId="8201" r:id="rId3"/>
    <oleObject progId="Equation.3" shapeId="8202" r:id="rId4"/>
    <oleObject progId="Equation.3" shapeId="8203" r:id="rId5"/>
    <oleObject progId="Equation.3" shapeId="8204" r:id="rId6"/>
    <oleObject progId="Equation.3" shapeId="8205" r:id="rId7"/>
    <oleObject progId="Equation.3" shapeId="8206" r:id="rId8"/>
    <oleObject progId="Equation.3" shapeId="8207" r:id="rId9"/>
    <oleObject progId="Equation.3" shapeId="8208" r:id="rId10"/>
    <oleObject progId="Equation.3" shapeId="8209" r:id="rId11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SS_CSC - deck slab, steel grid</vt:lpstr>
      <vt:lpstr>RC - Tee</vt:lpstr>
      <vt:lpstr>PSC_CPC - Tee, I, Bulb-Tee</vt:lpstr>
      <vt:lpstr>PSC - Box</vt:lpstr>
    </vt:vector>
  </TitlesOfParts>
  <Company>Bentley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Rita.Oglesby</dc:creator>
  <cp:lastModifiedBy>Rita.Oglesby</cp:lastModifiedBy>
  <dcterms:created xsi:type="dcterms:W3CDTF">2011-08-02T20:06:41Z</dcterms:created>
  <dcterms:modified xsi:type="dcterms:W3CDTF">2011-10-12T15:02:13Z</dcterms:modified>
</cp:coreProperties>
</file>